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<sst xmlns="http://schemas.openxmlformats.org/spreadsheetml/2006/main" count="168" uniqueCount="113">
  <si>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</si>
  <si>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</si>
  <si>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</si>
  <si>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</si>
  <si>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</si>
  <si>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</si>
  <si>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</si>
  <si>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</si>
  <si>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</si>
  <si>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</si>
  <si>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</si>
  <si>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</si>
  <si>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</si>
  <si>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</si>
  <si>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</si>
  <si>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</si>
  <si>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</si>
  <si>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</si>
  <si>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</si>
  <si>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</si>
  <si>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</si>
  <si>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</si>
  <si>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</si>
  <si>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</si>
  <si>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</si>
  <si>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</si>
  <si>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</si>
  <si>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</si>
  <si>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</si>
  <si>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</si>
  <si>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</si>
  <si>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</si>
  <si>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</si>
  <si>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</si>
  <si>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</si>
  <si>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</si>
  <si>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</si>
  <si>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</si>
  <si>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</si>
  <si>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</si>
  <si>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</si>
  <si>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</si>
  <si>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</si>
  <si>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</si>
  <si>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</si>
  <si>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</si>
  <si>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</si>
  <si>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</si>
  <si>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</si>
  <si>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</si>
  <si>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</si>
  <si>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</si>
  <si>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</si>
  <si>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</si>
  <si>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</si>
  <si>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</si>
  <si>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</si>
  <si>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</si>
  <si>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</si>
  <si>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</si>
  <si>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</si>
  <si>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</si>
  <si>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</si>
  <si>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</si>
  <si>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</si>
  <si>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</si>
  <si>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</si>
  <si>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</si>
  <si>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</si>
  <si>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</si>
  <si>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</si>
  <si>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</si>
  <si>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</si>
  <si>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</si>
  <si>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</si>
  <si>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</si>
  <si>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</si>
  <si>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</si>
  <si>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</si>
  <si>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</si>
  <si>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</si>
  <si>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</si>
  <si>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</si>
  <si>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</si>
  <si>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</si>
  <si>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</si>
  <si>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</si>
  <si>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</si>
  <si>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</si>
  <si>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</si>
  <si>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</si>
  <si>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</si>
  <si>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</si>
  <si>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</si>
  <si>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</si>
  <si>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</si>
  <si>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</si>
  <si>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</si>
  <si>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</si>
  <si>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</si>
  <si>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</si>
  <si>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</si>
  <si>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</si>
  <si>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</si>
  <si>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</si>
  <si>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</si>
  <si>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</si>
  <si>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</si>
  <si>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</si>
  <si>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Відсоток виконання  плану 8 місяців</t>
  </si>
  <si>
    <t>План на 9 місяців тис.грн.</t>
  </si>
  <si>
    <t>Відхилення від  плану 9 місяців, тис.грн.</t>
  </si>
  <si>
    <t>Аналіз використання коштів загального фонду міського бюджету станом на 30.09.2019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</si>
</sst>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190" fontId="4" fillId="35" borderId="17" xfId="0" applyNumberFormat="1" applyFont="1" applyFill="1" applyBorder="1" applyAlignment="1">
      <alignment/>
    </xf>
    <xf numFmtId="190" fontId="3" fillId="35" borderId="1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218180.4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160531.29999999993</c:v>
                </c:pt>
              </c:numCache>
            </c:numRef>
          </c:val>
          <c:shape val="box"/>
        </c:ser>
        <c:shape val="box"/>
        <c:axId val="17006684"/>
        <c:axId val="18842429"/>
      </c:bar3DChart>
      <c:catAx>
        <c:axId val="1700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42429"/>
        <c:crosses val="autoZero"/>
        <c:auto val="1"/>
        <c:lblOffset val="100"/>
        <c:tickLblSkip val="1"/>
        <c:noMultiLvlLbl val="0"/>
      </c:catAx>
      <c:valAx>
        <c:axId val="18842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06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922539.7999999999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648554.6000000003</c:v>
                </c:pt>
              </c:numCache>
            </c:numRef>
          </c:val>
          <c:shape val="box"/>
        </c:ser>
        <c:shape val="box"/>
        <c:axId val="35364134"/>
        <c:axId val="49841751"/>
      </c:bar3DChart>
      <c:catAx>
        <c:axId val="35364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41751"/>
        <c:crosses val="autoZero"/>
        <c:auto val="1"/>
        <c:lblOffset val="100"/>
        <c:tickLblSkip val="1"/>
        <c:noMultiLvlLbl val="0"/>
      </c:catAx>
      <c:valAx>
        <c:axId val="49841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64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415126.1000000001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294118.5369999999</c:v>
                </c:pt>
              </c:numCache>
            </c:numRef>
          </c:val>
          <c:shape val="box"/>
        </c:ser>
        <c:shape val="box"/>
        <c:axId val="45922576"/>
        <c:axId val="10650001"/>
      </c:bar3DChart>
      <c:catAx>
        <c:axId val="4592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50001"/>
        <c:crosses val="autoZero"/>
        <c:auto val="1"/>
        <c:lblOffset val="100"/>
        <c:tickLblSkip val="1"/>
        <c:noMultiLvlLbl val="0"/>
      </c:catAx>
      <c:valAx>
        <c:axId val="10650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22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19029.399999999998</c:v>
                </c:pt>
              </c:numCache>
            </c:numRef>
          </c:val>
          <c:shape val="box"/>
        </c:ser>
        <c:shape val="box"/>
        <c:axId val="28741146"/>
        <c:axId val="57343723"/>
      </c:bar3D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43723"/>
        <c:crosses val="autoZero"/>
        <c:auto val="1"/>
        <c:lblOffset val="100"/>
        <c:tickLblSkip val="1"/>
        <c:noMultiLvlLbl val="0"/>
      </c:catAx>
      <c:valAx>
        <c:axId val="57343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41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51832.100000000006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31517.800000000007</c:v>
                </c:pt>
              </c:numCache>
            </c:numRef>
          </c:val>
          <c:shape val="box"/>
        </c:ser>
        <c:shape val="box"/>
        <c:axId val="46331460"/>
        <c:axId val="14329957"/>
      </c:bar3DChart>
      <c:catAx>
        <c:axId val="46331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29957"/>
        <c:crosses val="autoZero"/>
        <c:auto val="1"/>
        <c:lblOffset val="100"/>
        <c:tickLblSkip val="2"/>
        <c:noMultiLvlLbl val="0"/>
      </c:catAx>
      <c:valAx>
        <c:axId val="14329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31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7507.199999999998</c:v>
                </c:pt>
              </c:numCache>
            </c:numRef>
          </c:val>
          <c:shape val="box"/>
        </c:ser>
        <c:shape val="box"/>
        <c:axId val="61860750"/>
        <c:axId val="19875839"/>
      </c:bar3DChart>
      <c:catAx>
        <c:axId val="61860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75839"/>
        <c:crosses val="autoZero"/>
        <c:auto val="1"/>
        <c:lblOffset val="100"/>
        <c:tickLblSkip val="1"/>
        <c:noMultiLvlLbl val="0"/>
      </c:catAx>
      <c:valAx>
        <c:axId val="19875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60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134260.5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85264</c:v>
                </c:pt>
              </c:numCache>
            </c:numRef>
          </c:val>
          <c:shape val="box"/>
        </c:ser>
        <c:shape val="box"/>
        <c:axId val="44664824"/>
        <c:axId val="66439097"/>
      </c:bar3DChart>
      <c:catAx>
        <c:axId val="446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439097"/>
        <c:crosses val="autoZero"/>
        <c:auto val="1"/>
        <c:lblOffset val="100"/>
        <c:tickLblSkip val="1"/>
        <c:noMultiLvlLbl val="0"/>
      </c:catAx>
      <c:valAx>
        <c:axId val="66439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648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922539.7999999999</c:v>
                </c:pt>
                <c:pt idx="1">
                  <c:v>415126.1000000001</c:v>
                </c:pt>
                <c:pt idx="2">
                  <c:v>27234</c:v>
                </c:pt>
                <c:pt idx="3">
                  <c:v>51832.100000000006</c:v>
                </c:pt>
                <c:pt idx="4">
                  <c:v>8853.9</c:v>
                </c:pt>
                <c:pt idx="5">
                  <c:v>218180.4</c:v>
                </c:pt>
                <c:pt idx="6">
                  <c:v>134260.5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648554.6000000003</c:v>
                </c:pt>
                <c:pt idx="1">
                  <c:v>294118.5369999999</c:v>
                </c:pt>
                <c:pt idx="2">
                  <c:v>19029.399999999998</c:v>
                </c:pt>
                <c:pt idx="3">
                  <c:v>31517.800000000007</c:v>
                </c:pt>
                <c:pt idx="4">
                  <c:v>7507.199999999998</c:v>
                </c:pt>
                <c:pt idx="5">
                  <c:v>160531.29999999993</c:v>
                </c:pt>
                <c:pt idx="6">
                  <c:v>85264</c:v>
                </c:pt>
              </c:numCache>
            </c:numRef>
          </c:val>
          <c:shape val="box"/>
        </c:ser>
        <c:shape val="box"/>
        <c:axId val="61080962"/>
        <c:axId val="12857747"/>
      </c:bar3DChart>
      <c:catAx>
        <c:axId val="61080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57747"/>
        <c:crosses val="autoZero"/>
        <c:auto val="1"/>
        <c:lblOffset val="100"/>
        <c:tickLblSkip val="1"/>
        <c:noMultiLvlLbl val="0"/>
      </c:catAx>
      <c:valAx>
        <c:axId val="12857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80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996771.1</c:v>
                </c:pt>
                <c:pt idx="1">
                  <c:v>125275.7</c:v>
                </c:pt>
                <c:pt idx="2">
                  <c:v>48026.600000000006</c:v>
                </c:pt>
                <c:pt idx="3">
                  <c:v>87271.40000000002</c:v>
                </c:pt>
                <c:pt idx="4">
                  <c:v>122.9</c:v>
                </c:pt>
                <c:pt idx="5">
                  <c:v>1250515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738005.7000000002</c:v>
                </c:pt>
                <c:pt idx="1">
                  <c:v>66423.49999999996</c:v>
                </c:pt>
                <c:pt idx="2">
                  <c:v>32402.200000000008</c:v>
                </c:pt>
                <c:pt idx="3">
                  <c:v>57478.660000000025</c:v>
                </c:pt>
                <c:pt idx="4">
                  <c:v>48.79999999999999</c:v>
                </c:pt>
                <c:pt idx="5">
                  <c:v>864175.2967899999</c:v>
                </c:pt>
              </c:numCache>
            </c:numRef>
          </c:val>
          <c:shape val="box"/>
        </c:ser>
        <c:shape val="box"/>
        <c:axId val="48610860"/>
        <c:axId val="34844557"/>
      </c:bar3DChart>
      <c:catAx>
        <c:axId val="4861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44557"/>
        <c:crosses val="autoZero"/>
        <c:auto val="1"/>
        <c:lblOffset val="100"/>
        <c:tickLblSkip val="1"/>
        <c:noMultiLvlLbl val="0"/>
      </c:catAx>
      <c:valAx>
        <c:axId val="34844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0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6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92" sqref="F92"/>
    </sheetView>
  </sheetViews>
  <sheetFormatPr defaultColWidth="9.00390625" defaultRowHeight="12.75"/>
  <cols>
    <col min="1" max="1" width="66.875" style="120" customWidth="1"/>
    <col min="2" max="2" width="19.00390625" style="120" customWidth="1"/>
    <col min="3" max="3" width="18.75390625" style="121" customWidth="1"/>
    <col min="4" max="4" width="19.00390625" style="121" customWidth="1"/>
    <col min="5" max="5" width="17.25390625" style="121" customWidth="1"/>
    <col min="6" max="7" width="19.375" style="121" customWidth="1"/>
    <col min="8" max="8" width="19.75390625" style="121" customWidth="1"/>
    <col min="9" max="9" width="21.00390625" style="121" customWidth="1"/>
    <col min="10" max="10" width="9.125" style="121" customWidth="1"/>
    <col min="11" max="11" width="15.375" style="121" customWidth="1"/>
    <col min="12" max="12" width="13.625" style="121" customWidth="1"/>
    <col min="13" max="13" width="11.375" style="121" bestFit="1" customWidth="1"/>
    <col min="14" max="16384" width="9.125" style="121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110</v>
      </c>
      <c r="C3" s="174" t="s">
        <v>103</v>
      </c>
      <c r="D3" s="174" t="s">
        <v>20</v>
      </c>
      <c r="E3" s="174" t="s">
        <v>19</v>
      </c>
      <c r="F3" s="174" t="s">
        <v>109</v>
      </c>
      <c r="G3" s="174" t="s">
        <v>105</v>
      </c>
      <c r="H3" s="174" t="s">
        <v>111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6"/>
    </row>
    <row r="6" spans="1:12" ht="18.75" thickBot="1">
      <c r="A6" s="18" t="s">
        <v>24</v>
      </c>
      <c r="B6" s="34">
        <f>688487.6+135+30.3</f>
        <v>688652.9</v>
      </c>
      <c r="C6" s="35">
        <f>913995.7+3.2+21.3+6054.6-0.1+7.6+51.9+2.3+1801.7+431.6+35+135</f>
        <v>922539.7999999999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+478.9+24.5+727.8+15496+9928.2+63-121.7+44.9+4.5+0.3+47.9+57+37+647.1+564.9+2.5+240.8+546.3+13358.9+10402.7+206.6+1361+30.8+53+1+54.4+1058.8+20.1+2063.9+7427.4+13207+14456.5+498+91.7</f>
        <v>648554.6000000003</v>
      </c>
      <c r="E6" s="3">
        <f>D6/D156*100</f>
        <v>36.88040960113402</v>
      </c>
      <c r="F6" s="3">
        <f>D6/B6*100</f>
        <v>94.17728437649798</v>
      </c>
      <c r="G6" s="3">
        <f aca="true" t="shared" si="0" ref="G6:G43">D6/C6*100</f>
        <v>70.30098864027335</v>
      </c>
      <c r="H6" s="36">
        <f aca="true" t="shared" si="1" ref="H6:H12">B6-D6</f>
        <v>40098.2999999997</v>
      </c>
      <c r="I6" s="36">
        <f aca="true" t="shared" si="2" ref="I6:I43">C6-D6</f>
        <v>273985.1999999996</v>
      </c>
      <c r="J6" s="126"/>
      <c r="L6" s="127">
        <f>H6-H7</f>
        <v>37918.89999999973</v>
      </c>
    </row>
    <row r="7" spans="1:9" s="83" customFormat="1" ht="18.75">
      <c r="A7" s="116" t="s">
        <v>79</v>
      </c>
      <c r="B7" s="69">
        <v>229640.1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12060.7+9623.1+1044.7+273.5+10510.2+12398.6+40.7+10550.7+12514+8.7+10597.9+12396.7+14.3-11.2+14.3+10532.6+25726.8+2302.2+41728.4+13.4+10871.6+847.7+4031.4+88.2+671.5+0.1+764+2964.3+9928.2+2.5+10402.7+14456.5+91.7</f>
        <v>227460.70000000004</v>
      </c>
      <c r="E7" s="118">
        <f>D7/D6*100</f>
        <v>35.07194305614361</v>
      </c>
      <c r="F7" s="118">
        <f>D7/B7*100</f>
        <v>99.050949725244</v>
      </c>
      <c r="G7" s="118">
        <f>D7/C7*100</f>
        <v>76.08414386702677</v>
      </c>
      <c r="H7" s="117">
        <f t="shared" si="1"/>
        <v>2179.399999999965</v>
      </c>
      <c r="I7" s="117">
        <f t="shared" si="2"/>
        <v>71498.69999999998</v>
      </c>
    </row>
    <row r="8" spans="1:9" s="126" customFormat="1" ht="18">
      <c r="A8" s="87" t="s">
        <v>3</v>
      </c>
      <c r="B8" s="31">
        <v>554794</v>
      </c>
      <c r="C8" s="32">
        <f>726684.4+3.2+2754.6+431.6</f>
        <v>729873.7999999999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+2.9+9928.2+15219.3+47.9+57+2.5+12639.1+10402.7+250.6-45.1+7277.6+14456.5+12360.8+91.7</f>
        <v>539990.2000000001</v>
      </c>
      <c r="E8" s="90">
        <f>D8/D6*100</f>
        <v>83.26056125421049</v>
      </c>
      <c r="F8" s="90">
        <f>D8/B8*100</f>
        <v>97.33165823711144</v>
      </c>
      <c r="G8" s="90">
        <f t="shared" si="0"/>
        <v>73.98405039336939</v>
      </c>
      <c r="H8" s="89">
        <f t="shared" si="1"/>
        <v>14803.79999999993</v>
      </c>
      <c r="I8" s="89">
        <f t="shared" si="2"/>
        <v>189883.59999999986</v>
      </c>
    </row>
    <row r="9" spans="1:9" s="126" customFormat="1" ht="18">
      <c r="A9" s="87" t="s">
        <v>2</v>
      </c>
      <c r="B9" s="31">
        <v>74</v>
      </c>
      <c r="C9" s="32">
        <v>104.9</v>
      </c>
      <c r="D9" s="33">
        <f>16.3+0.9+0.3+8.7+9.7+0.3+0.4+0.4+0.1+0.5+10.3</f>
        <v>47.89999999999999</v>
      </c>
      <c r="E9" s="107">
        <f>D9/D6*100</f>
        <v>0.007385654191643998</v>
      </c>
      <c r="F9" s="90">
        <f>D9/B9*100</f>
        <v>64.72972972972973</v>
      </c>
      <c r="G9" s="90">
        <f t="shared" si="0"/>
        <v>45.662535748331734</v>
      </c>
      <c r="H9" s="89">
        <f t="shared" si="1"/>
        <v>26.10000000000001</v>
      </c>
      <c r="I9" s="89">
        <f t="shared" si="2"/>
        <v>57.000000000000014</v>
      </c>
    </row>
    <row r="10" spans="1:9" s="126" customFormat="1" ht="18">
      <c r="A10" s="87" t="s">
        <v>1</v>
      </c>
      <c r="B10" s="31">
        <f>32698.8+85</f>
        <v>32783.8</v>
      </c>
      <c r="C10" s="32">
        <f>43439.8+85</f>
        <v>43524.8</v>
      </c>
      <c r="D10" s="150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+246.5+178.4+81.5+320.1+380.9+341.7+605.7+0.7+549.5-0.1+26.9+561.5+278.6+112+23.7+476.8</f>
        <v>29886.000000000004</v>
      </c>
      <c r="E10" s="90">
        <f>D10/D6*100</f>
        <v>4.608093135103812</v>
      </c>
      <c r="F10" s="90">
        <f aca="true" t="shared" si="3" ref="F10:F41">D10/B10*100</f>
        <v>91.16087823864227</v>
      </c>
      <c r="G10" s="90">
        <f t="shared" si="0"/>
        <v>68.66430173142668</v>
      </c>
      <c r="H10" s="89">
        <f t="shared" si="1"/>
        <v>2897.7999999999993</v>
      </c>
      <c r="I10" s="89">
        <f t="shared" si="2"/>
        <v>13638.8</v>
      </c>
    </row>
    <row r="11" spans="1:9" s="126" customFormat="1" ht="18">
      <c r="A11" s="87" t="s">
        <v>0</v>
      </c>
      <c r="B11" s="31">
        <v>61978.5</v>
      </c>
      <c r="C11" s="32">
        <f>98224.3+33+0.3+15</f>
        <v>98272.6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+3.7+0.6+2.5+0.3+36.3+4.5+22.3+257.6+116+1.3+192.5+40.7+11.4+69.7+4.6+2.5+2.4+6.2+0.1+42.4+0.1+129.1+0.4</f>
        <v>51215.69999999996</v>
      </c>
      <c r="E11" s="90">
        <f>D11/D6*100</f>
        <v>7.896898734509004</v>
      </c>
      <c r="F11" s="90">
        <f t="shared" si="3"/>
        <v>82.63462329678833</v>
      </c>
      <c r="G11" s="90">
        <f t="shared" si="0"/>
        <v>52.11595093647665</v>
      </c>
      <c r="H11" s="89">
        <f t="shared" si="1"/>
        <v>10762.80000000004</v>
      </c>
      <c r="I11" s="89">
        <f t="shared" si="2"/>
        <v>47056.900000000045</v>
      </c>
    </row>
    <row r="12" spans="1:9" s="126" customFormat="1" ht="18">
      <c r="A12" s="87" t="s">
        <v>12</v>
      </c>
      <c r="B12" s="31">
        <v>9619.4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134.7+863.6+21+169+134.3+503.1+242.3+376.7+419.7+11.5+196.3+194.7+350.5+128.8+306+205.9+21+475.1+46.1+265+1+11.5+502+21+253.6+228.1+113.2+114.8+47.7+65.2+24.1+347.4-0.1+12+0.1+64.7+236.2+116+84.5+60.2+75.4+77.4+19.1+75.4+525.9+229.2+14.2</f>
        <v>8385.1</v>
      </c>
      <c r="E12" s="90">
        <f>D12/D6*100</f>
        <v>1.2928903749969543</v>
      </c>
      <c r="F12" s="90">
        <f t="shared" si="3"/>
        <v>87.16863837661394</v>
      </c>
      <c r="G12" s="90">
        <f t="shared" si="0"/>
        <v>64.55290811809539</v>
      </c>
      <c r="H12" s="89">
        <f t="shared" si="1"/>
        <v>1234.2999999999993</v>
      </c>
      <c r="I12" s="89">
        <f t="shared" si="2"/>
        <v>4604.4</v>
      </c>
    </row>
    <row r="13" spans="1:9" s="126" customFormat="1" ht="18.75" thickBot="1">
      <c r="A13" s="87" t="s">
        <v>25</v>
      </c>
      <c r="B13" s="32">
        <f>B6-B8-B9-B10-B11-B12</f>
        <v>29403.20000000002</v>
      </c>
      <c r="C13" s="32">
        <f>C6-C8-C9-C10-C11-C12</f>
        <v>37774.19999999998</v>
      </c>
      <c r="D13" s="32">
        <f>D6-D8-D9-D10-D11-D12</f>
        <v>19029.700000000303</v>
      </c>
      <c r="E13" s="90">
        <f>D13/D6*100</f>
        <v>2.9341708469881014</v>
      </c>
      <c r="F13" s="90">
        <f t="shared" si="3"/>
        <v>64.71982641345258</v>
      </c>
      <c r="G13" s="90">
        <f t="shared" si="0"/>
        <v>50.37750634030718</v>
      </c>
      <c r="H13" s="89">
        <f aca="true" t="shared" si="4" ref="H13:H44">B13-D13</f>
        <v>10373.499999999716</v>
      </c>
      <c r="I13" s="89">
        <f t="shared" si="2"/>
        <v>18744.49999999968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89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89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89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89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314033.4-612.8-791.7+350.9-200</f>
        <v>312779.80000000005</v>
      </c>
      <c r="C18" s="35">
        <f>417020.2+71.9+897.7-0.1-33.9+680.4+0.2-180-612.8-3068.4+350.9</f>
        <v>415126.1000000001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+4.7+51.8+8765.4+4749.4+2352.3+246.8+14.8+123.4+0.5+385.7+367.3+533.1+8027.9+85.8+1710.8+5.5+762.3+1210.8+4.1+9.1+5669.7+4146.5+4307.4+1116.4+317+430.1+84.3+0.2</f>
        <v>294118.5369999999</v>
      </c>
      <c r="E18" s="3">
        <f>D18/D156*100</f>
        <v>16.725210361388665</v>
      </c>
      <c r="F18" s="3">
        <f>D18/B18*100</f>
        <v>94.03373779253003</v>
      </c>
      <c r="G18" s="3">
        <f t="shared" si="0"/>
        <v>70.8504083458014</v>
      </c>
      <c r="H18" s="147">
        <f t="shared" si="4"/>
        <v>18661.26300000015</v>
      </c>
      <c r="I18" s="36">
        <f t="shared" si="2"/>
        <v>121007.5630000002</v>
      </c>
      <c r="J18" s="126"/>
      <c r="L18" s="127">
        <f>H18-H19</f>
        <v>18661.300000000105</v>
      </c>
    </row>
    <row r="19" spans="1:9" s="83" customFormat="1" ht="18.75">
      <c r="A19" s="116" t="s">
        <v>80</v>
      </c>
      <c r="B19" s="69">
        <v>153942.3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+4749.4+246.8+874.1+123.4+0.5+367.3+92.3+1710.8+8027.9+1210.8+4.1+4146.5+430.1+1116.5</f>
        <v>153942.33699999994</v>
      </c>
      <c r="E19" s="118">
        <f>D19/D18*100</f>
        <v>52.34023620891328</v>
      </c>
      <c r="F19" s="118">
        <f t="shared" si="3"/>
        <v>100.00002403497932</v>
      </c>
      <c r="G19" s="118">
        <f t="shared" si="0"/>
        <v>74.96360565865827</v>
      </c>
      <c r="H19" s="117">
        <f t="shared" si="4"/>
        <v>-0.03699999995296821</v>
      </c>
      <c r="I19" s="117">
        <f t="shared" si="2"/>
        <v>51413.76300000009</v>
      </c>
    </row>
    <row r="20" spans="1:9" s="126" customFormat="1" ht="18" hidden="1">
      <c r="A20" s="87" t="s">
        <v>5</v>
      </c>
      <c r="B20" s="31"/>
      <c r="C20" s="32"/>
      <c r="D20" s="33"/>
      <c r="E20" s="90">
        <f>D20/D18*100</f>
        <v>0</v>
      </c>
      <c r="F20" s="90" t="e">
        <f t="shared" si="3"/>
        <v>#DIV/0!</v>
      </c>
      <c r="G20" s="90" t="e">
        <f t="shared" si="0"/>
        <v>#DIV/0!</v>
      </c>
      <c r="H20" s="89">
        <f t="shared" si="4"/>
        <v>0</v>
      </c>
      <c r="I20" s="89">
        <f t="shared" si="2"/>
        <v>0</v>
      </c>
    </row>
    <row r="21" spans="1:9" s="126" customFormat="1" ht="18" hidden="1">
      <c r="A21" s="87" t="s">
        <v>2</v>
      </c>
      <c r="B21" s="31"/>
      <c r="C21" s="32"/>
      <c r="D21" s="33"/>
      <c r="E21" s="90">
        <f>D21/D18*100</f>
        <v>0</v>
      </c>
      <c r="F21" s="90" t="e">
        <f t="shared" si="3"/>
        <v>#DIV/0!</v>
      </c>
      <c r="G21" s="90" t="e">
        <f t="shared" si="0"/>
        <v>#DIV/0!</v>
      </c>
      <c r="H21" s="89">
        <f t="shared" si="4"/>
        <v>0</v>
      </c>
      <c r="I21" s="89">
        <f t="shared" si="2"/>
        <v>0</v>
      </c>
    </row>
    <row r="22" spans="1:9" s="126" customFormat="1" ht="18" hidden="1">
      <c r="A22" s="87" t="s">
        <v>1</v>
      </c>
      <c r="B22" s="31"/>
      <c r="C22" s="32"/>
      <c r="D22" s="33"/>
      <c r="E22" s="90">
        <f>D22/D18*100</f>
        <v>0</v>
      </c>
      <c r="F22" s="90" t="e">
        <f t="shared" si="3"/>
        <v>#DIV/0!</v>
      </c>
      <c r="G22" s="90" t="e">
        <f t="shared" si="0"/>
        <v>#DIV/0!</v>
      </c>
      <c r="H22" s="89">
        <f t="shared" si="4"/>
        <v>0</v>
      </c>
      <c r="I22" s="89">
        <f t="shared" si="2"/>
        <v>0</v>
      </c>
    </row>
    <row r="23" spans="1:9" s="126" customFormat="1" ht="18" hidden="1">
      <c r="A23" s="87" t="s">
        <v>0</v>
      </c>
      <c r="B23" s="31"/>
      <c r="C23" s="32"/>
      <c r="D23" s="33"/>
      <c r="E23" s="90">
        <f>D23/D18*100</f>
        <v>0</v>
      </c>
      <c r="F23" s="90" t="e">
        <f t="shared" si="3"/>
        <v>#DIV/0!</v>
      </c>
      <c r="G23" s="90" t="e">
        <f t="shared" si="0"/>
        <v>#DIV/0!</v>
      </c>
      <c r="H23" s="89">
        <f t="shared" si="4"/>
        <v>0</v>
      </c>
      <c r="I23" s="89">
        <f t="shared" si="2"/>
        <v>0</v>
      </c>
    </row>
    <row r="24" spans="1:9" s="126" customFormat="1" ht="18">
      <c r="A24" s="87" t="s">
        <v>12</v>
      </c>
      <c r="B24" s="31">
        <v>769.2</v>
      </c>
      <c r="C24" s="32">
        <v>999.4</v>
      </c>
      <c r="D24" s="33">
        <f>199.2+100.3+88.2+109-0.1+47.3+84.3</f>
        <v>628.1999999999999</v>
      </c>
      <c r="E24" s="90">
        <f>D24/D18*100</f>
        <v>0.21358735372738516</v>
      </c>
      <c r="F24" s="90">
        <f t="shared" si="3"/>
        <v>81.66926677067082</v>
      </c>
      <c r="G24" s="90">
        <f t="shared" si="0"/>
        <v>62.85771462877726</v>
      </c>
      <c r="H24" s="89">
        <f t="shared" si="4"/>
        <v>141.0000000000001</v>
      </c>
      <c r="I24" s="89">
        <f t="shared" si="2"/>
        <v>371.20000000000005</v>
      </c>
    </row>
    <row r="25" spans="1:9" s="126" customFormat="1" ht="18.75" thickBot="1">
      <c r="A25" s="87" t="s">
        <v>25</v>
      </c>
      <c r="B25" s="32">
        <f>B18-B24</f>
        <v>312010.60000000003</v>
      </c>
      <c r="C25" s="32">
        <f>C18-C24</f>
        <v>414126.70000000007</v>
      </c>
      <c r="D25" s="32">
        <f>D18-D24</f>
        <v>293490.3369999999</v>
      </c>
      <c r="E25" s="90">
        <f>D25/D18*100</f>
        <v>99.78641264627261</v>
      </c>
      <c r="F25" s="90">
        <f t="shared" si="3"/>
        <v>94.06421993355349</v>
      </c>
      <c r="G25" s="90">
        <f t="shared" si="0"/>
        <v>70.86969688262067</v>
      </c>
      <c r="H25" s="89">
        <f t="shared" si="4"/>
        <v>18520.26300000015</v>
      </c>
      <c r="I25" s="89">
        <f t="shared" si="2"/>
        <v>120636.36300000019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89">
        <f t="shared" si="4"/>
        <v>0</v>
      </c>
      <c r="I26" s="33">
        <f t="shared" si="2"/>
        <v>0</v>
      </c>
      <c r="J26" s="126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89">
        <f t="shared" si="4"/>
        <v>0</v>
      </c>
      <c r="I27" s="33">
        <f t="shared" si="2"/>
        <v>0</v>
      </c>
      <c r="J27" s="126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89">
        <f t="shared" si="4"/>
        <v>0</v>
      </c>
      <c r="I28" s="33">
        <f t="shared" si="2"/>
        <v>0</v>
      </c>
      <c r="J28" s="126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89">
        <f t="shared" si="4"/>
        <v>0</v>
      </c>
      <c r="I29" s="33">
        <f t="shared" si="2"/>
        <v>0</v>
      </c>
      <c r="J29" s="126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89">
        <f t="shared" si="4"/>
        <v>0</v>
      </c>
      <c r="I30" s="33">
        <f t="shared" si="2"/>
        <v>0</v>
      </c>
      <c r="J30" s="126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89">
        <f t="shared" si="4"/>
        <v>0</v>
      </c>
      <c r="I31" s="33">
        <f t="shared" si="2"/>
        <v>0</v>
      </c>
      <c r="J31" s="126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89">
        <f t="shared" si="4"/>
        <v>0</v>
      </c>
      <c r="I32" s="33">
        <f t="shared" si="2"/>
        <v>0</v>
      </c>
      <c r="J32" s="126"/>
    </row>
    <row r="33" spans="1:10" ht="18.75" thickBot="1">
      <c r="A33" s="18" t="s">
        <v>15</v>
      </c>
      <c r="B33" s="34">
        <f>20586.4-59.5</f>
        <v>20526.9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+105.7+5.6+581.7+162+7.1-0.1+24.5+239.8+95.9+163.5+21.4+306.6+20.3+11.9+220.1+62.5+673.1+82+158.3+566.8+48.9-0.3</f>
        <v>19029.399999999998</v>
      </c>
      <c r="E33" s="3">
        <f>D33/D156*100</f>
        <v>1.0821171671033083</v>
      </c>
      <c r="F33" s="3">
        <f>D33/B33*100</f>
        <v>92.70469481509626</v>
      </c>
      <c r="G33" s="146">
        <f t="shared" si="0"/>
        <v>69.8736873026364</v>
      </c>
      <c r="H33" s="147">
        <f t="shared" si="4"/>
        <v>1497.5000000000036</v>
      </c>
      <c r="I33" s="36">
        <f t="shared" si="2"/>
        <v>8204.600000000002</v>
      </c>
      <c r="J33" s="126"/>
    </row>
    <row r="34" spans="1:9" s="126" customFormat="1" ht="18">
      <c r="A34" s="87" t="s">
        <v>3</v>
      </c>
      <c r="B34" s="31">
        <f>10890.8+21</f>
        <v>10911.8</v>
      </c>
      <c r="C34" s="32">
        <f>14255.8+21</f>
        <v>14276.8</v>
      </c>
      <c r="D34" s="33">
        <f>95.5+254.3+520.9+145.6+77.4+290.2+14+629.4+494.6+11.4+607.6+26.4+384.9+103.2+27.1+151.5+461.6+16.4+14.3-0.2+100.6+400.5+180.4+615.1+100.6+396.6-0.2+1.8+800.9+4.3+120.7+413.3+43-0.1+786.7+17.9+0.2+81.8+304.4+80.3+581.7+14.2-0.1+12.8+100.6+306.6+1.9+11.9+0.1+80.3+158.3+564.8</f>
        <v>10607.999999999998</v>
      </c>
      <c r="E34" s="90">
        <f>D34/D33*100</f>
        <v>55.74532039896161</v>
      </c>
      <c r="F34" s="90">
        <f t="shared" si="3"/>
        <v>97.21585806191462</v>
      </c>
      <c r="G34" s="90">
        <f t="shared" si="0"/>
        <v>74.30236467555754</v>
      </c>
      <c r="H34" s="89">
        <f t="shared" si="4"/>
        <v>303.8000000000011</v>
      </c>
      <c r="I34" s="89">
        <f t="shared" si="2"/>
        <v>3668.800000000001</v>
      </c>
    </row>
    <row r="35" spans="1:9" s="126" customFormat="1" ht="18">
      <c r="A35" s="87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0">
        <f>D35/D33*100</f>
        <v>0.28639894058667115</v>
      </c>
      <c r="F35" s="90">
        <f t="shared" si="3"/>
        <v>99.99999999999999</v>
      </c>
      <c r="G35" s="90">
        <f t="shared" si="0"/>
        <v>100</v>
      </c>
      <c r="H35" s="89">
        <f t="shared" si="4"/>
        <v>0</v>
      </c>
      <c r="I35" s="89">
        <f t="shared" si="2"/>
        <v>0</v>
      </c>
    </row>
    <row r="36" spans="1:9" s="126" customFormat="1" ht="18">
      <c r="A36" s="87" t="s">
        <v>0</v>
      </c>
      <c r="B36" s="31">
        <v>1225.2</v>
      </c>
      <c r="C36" s="32">
        <f>2087.8+0.3</f>
        <v>2088.1000000000004</v>
      </c>
      <c r="D36" s="33">
        <f>1.1+273.8+98.4+76.8+0.5+2.1+0.3+6.6+52.2+342.8+0.4+3.3+12.2+25.8+7.1+2.1+70+0.1+0.7+1.9+15.3+8.2+0.2+4.2+0.1+8.5+0.9</f>
        <v>1015.6000000000003</v>
      </c>
      <c r="E36" s="90">
        <f>D36/D33*100</f>
        <v>5.337004845134373</v>
      </c>
      <c r="F36" s="90">
        <f t="shared" si="3"/>
        <v>82.89258896506695</v>
      </c>
      <c r="G36" s="90">
        <f t="shared" si="0"/>
        <v>48.63751736027969</v>
      </c>
      <c r="H36" s="89">
        <f t="shared" si="4"/>
        <v>209.5999999999998</v>
      </c>
      <c r="I36" s="89">
        <f t="shared" si="2"/>
        <v>1072.5</v>
      </c>
    </row>
    <row r="37" spans="1:9" s="83" customFormat="1" ht="18.75">
      <c r="A37" s="140" t="s">
        <v>7</v>
      </c>
      <c r="B37" s="39">
        <v>515.6</v>
      </c>
      <c r="C37" s="151">
        <v>1082.6</v>
      </c>
      <c r="D37" s="40">
        <f>38.7+2+2.3+2.6+2.1+1.9+12.2+7.5+2.4+10+18.2+1.9+7.4-0.2+35+64.9+5.2+1.5+33.7+2.8</f>
        <v>252.10000000000002</v>
      </c>
      <c r="E37" s="93">
        <f>D37/D33*100</f>
        <v>1.3247921637045836</v>
      </c>
      <c r="F37" s="93">
        <f t="shared" si="3"/>
        <v>48.89449185415051</v>
      </c>
      <c r="G37" s="93">
        <f t="shared" si="0"/>
        <v>23.286532421947168</v>
      </c>
      <c r="H37" s="85">
        <f t="shared" si="4"/>
        <v>263.5</v>
      </c>
      <c r="I37" s="91">
        <f t="shared" si="2"/>
        <v>830.4999999999999</v>
      </c>
    </row>
    <row r="38" spans="1:9" s="126" customFormat="1" ht="18">
      <c r="A38" s="87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0">
        <f>D38/D33*100</f>
        <v>0.49239597675176316</v>
      </c>
      <c r="F38" s="90">
        <f t="shared" si="3"/>
        <v>82.55506607929516</v>
      </c>
      <c r="G38" s="90">
        <f t="shared" si="0"/>
        <v>45.81907090464548</v>
      </c>
      <c r="H38" s="89">
        <f t="shared" si="4"/>
        <v>19.799999999999997</v>
      </c>
      <c r="I38" s="89">
        <f t="shared" si="2"/>
        <v>110.8</v>
      </c>
    </row>
    <row r="39" spans="1:9" s="126" customFormat="1" ht="18.75" thickBot="1">
      <c r="A39" s="87" t="s">
        <v>25</v>
      </c>
      <c r="B39" s="31">
        <f>B33-B34-B36-B37-B35-B38</f>
        <v>7706.300000000001</v>
      </c>
      <c r="C39" s="31">
        <f>C33-C34-C36-C37-C35-C38</f>
        <v>9527.5</v>
      </c>
      <c r="D39" s="31">
        <f>D33-D34-D36-D37-D35-D38</f>
        <v>7005.499999999999</v>
      </c>
      <c r="E39" s="90">
        <f>D39/D33*100</f>
        <v>36.814087674861</v>
      </c>
      <c r="F39" s="90">
        <f t="shared" si="3"/>
        <v>90.90614172819639</v>
      </c>
      <c r="G39" s="90">
        <f t="shared" si="0"/>
        <v>73.52925741275254</v>
      </c>
      <c r="H39" s="89">
        <f t="shared" si="4"/>
        <v>700.800000000002</v>
      </c>
      <c r="I39" s="89">
        <f t="shared" si="2"/>
        <v>2522.000000000001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89">
        <f t="shared" si="4"/>
        <v>0</v>
      </c>
      <c r="I40" s="71">
        <f t="shared" si="2"/>
        <v>0</v>
      </c>
      <c r="J40" s="126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89">
        <f t="shared" si="4"/>
        <v>0</v>
      </c>
      <c r="I41" s="71">
        <f t="shared" si="2"/>
        <v>0</v>
      </c>
      <c r="J41" s="126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89">
        <f t="shared" si="4"/>
        <v>0</v>
      </c>
      <c r="I42" s="71">
        <f t="shared" si="2"/>
        <v>0</v>
      </c>
      <c r="J42" s="126"/>
    </row>
    <row r="43" spans="1:10" ht="19.5" thickBot="1">
      <c r="A43" s="11" t="s">
        <v>14</v>
      </c>
      <c r="B43" s="70">
        <v>776.5</v>
      </c>
      <c r="C43" s="35">
        <f>955.1+25</f>
        <v>980.1</v>
      </c>
      <c r="D43" s="36">
        <f>18+9.7+7.2+11.6+18.4+18.7+25.1+13.5+2.2+2+16.6+22.9+12+21+7.7+15.6+10+15+10+0.1+10.1+18.6+9+50.3+7+2+8+16.2+27.7+2+2+2+5.5+4+20.4+5+2+2-0.1+2+17.1+4+0.7+3+24.5+7+23.8+14+2-0.1</f>
        <v>549</v>
      </c>
      <c r="E43" s="3">
        <f>D43/D156*100</f>
        <v>0.031219183197563574</v>
      </c>
      <c r="F43" s="3">
        <f>D43/B43*100</f>
        <v>70.70186735350934</v>
      </c>
      <c r="G43" s="3">
        <f t="shared" si="0"/>
        <v>56.014692378328746</v>
      </c>
      <c r="H43" s="147">
        <f t="shared" si="4"/>
        <v>227.5</v>
      </c>
      <c r="I43" s="36">
        <f t="shared" si="2"/>
        <v>431.1</v>
      </c>
      <c r="J43" s="126"/>
    </row>
    <row r="44" spans="1:10" ht="18.75" hidden="1" thickBot="1">
      <c r="A44" s="138" t="s">
        <v>12</v>
      </c>
      <c r="B44" s="134">
        <v>0</v>
      </c>
      <c r="C44" s="135">
        <f>51.5-51.5</f>
        <v>0</v>
      </c>
      <c r="D44" s="136">
        <v>0</v>
      </c>
      <c r="E44" s="137">
        <f>D44/D39*100</f>
        <v>0</v>
      </c>
      <c r="F44" s="137" t="e">
        <f>D44/B44*100</f>
        <v>#DIV/0!</v>
      </c>
      <c r="G44" s="137" t="e">
        <f>D44/C44*100</f>
        <v>#DIV/0!</v>
      </c>
      <c r="H44" s="89">
        <f t="shared" si="4"/>
        <v>0</v>
      </c>
      <c r="I44" s="136">
        <f>C44-D44</f>
        <v>0</v>
      </c>
      <c r="J44" s="126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6"/>
      <c r="K45" s="126"/>
    </row>
    <row r="46" spans="1:11" ht="18.75" thickBot="1">
      <c r="A46" s="18" t="s">
        <v>42</v>
      </c>
      <c r="B46" s="34">
        <v>12548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346.4+682.6-0.1+14.1+556.7+0.1+721.1+127.1+71.4+15.4+390.3+13.9+56.1+905.8+4.8+61.3+2.9+439.8+0.3+42+847.9+8.3+402.3+0.1+20.1+0.2+4.4+30.8+63.8+859.4+10.5+475.1+926.2+39.3+521.9+15.3+8.4-0.1+811.6+15.6+419+721.3+14.3+443.2+780.2+2.5</f>
        <v>11893.6</v>
      </c>
      <c r="E46" s="3">
        <f>D46/D156*100</f>
        <v>0.6763360241867798</v>
      </c>
      <c r="F46" s="3">
        <f>D46/B46*100</f>
        <v>94.7848262671342</v>
      </c>
      <c r="G46" s="3">
        <f aca="true" t="shared" si="5" ref="G46:G78">D46/C46*100</f>
        <v>70.37300009467009</v>
      </c>
      <c r="H46" s="36">
        <f>B46-D46</f>
        <v>654.3999999999996</v>
      </c>
      <c r="I46" s="36">
        <f aca="true" t="shared" si="6" ref="I46:I79">C46-D46</f>
        <v>5007.199999999995</v>
      </c>
      <c r="J46" s="126"/>
      <c r="K46" s="126"/>
    </row>
    <row r="47" spans="1:9" s="126" customFormat="1" ht="18">
      <c r="A47" s="87" t="s">
        <v>3</v>
      </c>
      <c r="B47" s="31">
        <v>11378.3</v>
      </c>
      <c r="C47" s="106">
        <v>15270.9</v>
      </c>
      <c r="D47" s="89">
        <f>332.5+633.1+14.1+510.1+691.2+14.1+377.2-0.1+896.5+425+839.9+7+383.6+0.2+7+859.2+449.3+922.6+495.5+806.4+418.5+708+416.6+768.3</f>
        <v>10975.8</v>
      </c>
      <c r="E47" s="90">
        <f>D47/D46*100</f>
        <v>92.28324477029662</v>
      </c>
      <c r="F47" s="90">
        <f aca="true" t="shared" si="7" ref="F47:F76">D47/B47*100</f>
        <v>96.46256470650273</v>
      </c>
      <c r="G47" s="90">
        <f t="shared" si="5"/>
        <v>71.87395634834883</v>
      </c>
      <c r="H47" s="89">
        <f aca="true" t="shared" si="8" ref="H47:H76">B47-D47</f>
        <v>402.5</v>
      </c>
      <c r="I47" s="89">
        <f t="shared" si="6"/>
        <v>4295.1</v>
      </c>
    </row>
    <row r="48" spans="1:9" s="126" customFormat="1" ht="18">
      <c r="A48" s="87" t="s">
        <v>2</v>
      </c>
      <c r="B48" s="31">
        <v>0.9</v>
      </c>
      <c r="C48" s="106">
        <v>1.6</v>
      </c>
      <c r="D48" s="89">
        <v>0.9</v>
      </c>
      <c r="E48" s="90">
        <f>D48/D46*100</f>
        <v>0.007567094908185915</v>
      </c>
      <c r="F48" s="90">
        <f t="shared" si="7"/>
        <v>100</v>
      </c>
      <c r="G48" s="90">
        <f t="shared" si="5"/>
        <v>56.25</v>
      </c>
      <c r="H48" s="89">
        <f t="shared" si="8"/>
        <v>0</v>
      </c>
      <c r="I48" s="89">
        <f t="shared" si="6"/>
        <v>0.7000000000000001</v>
      </c>
    </row>
    <row r="49" spans="1:9" s="126" customFormat="1" ht="18">
      <c r="A49" s="87" t="s">
        <v>1</v>
      </c>
      <c r="B49" s="31">
        <v>62.4</v>
      </c>
      <c r="C49" s="106">
        <v>106.3</v>
      </c>
      <c r="D49" s="89">
        <f>8.3+10.5+10.2+9.5+10.6+8.1</f>
        <v>57.2</v>
      </c>
      <c r="E49" s="90">
        <f>D49/D46*100</f>
        <v>0.48093092083137146</v>
      </c>
      <c r="F49" s="90">
        <f t="shared" si="7"/>
        <v>91.66666666666667</v>
      </c>
      <c r="G49" s="90">
        <f t="shared" si="5"/>
        <v>53.80997177798683</v>
      </c>
      <c r="H49" s="89">
        <f t="shared" si="8"/>
        <v>5.199999999999996</v>
      </c>
      <c r="I49" s="89">
        <f t="shared" si="6"/>
        <v>49.099999999999994</v>
      </c>
    </row>
    <row r="50" spans="1:9" s="126" customFormat="1" ht="18">
      <c r="A50" s="87" t="s">
        <v>0</v>
      </c>
      <c r="B50" s="31">
        <f>722.2-10</f>
        <v>712.2</v>
      </c>
      <c r="C50" s="106">
        <f>998.4-10</f>
        <v>988.4</v>
      </c>
      <c r="D50" s="89">
        <f>13.9+43.7+37.9+3.3+112.6+65.7+2.1+15.6+56.1+2.7+37.7+0.1+42+5.3+1.3+11.6+20.1+0.2+56.8+3.9+4+8.4+3+1.7+1.8</f>
        <v>551.5</v>
      </c>
      <c r="E50" s="90">
        <f>D50/D46*100</f>
        <v>4.636947602071703</v>
      </c>
      <c r="F50" s="90">
        <f t="shared" si="7"/>
        <v>77.43611345127772</v>
      </c>
      <c r="G50" s="90">
        <f t="shared" si="5"/>
        <v>55.79724807770133</v>
      </c>
      <c r="H50" s="89">
        <f t="shared" si="8"/>
        <v>160.70000000000005</v>
      </c>
      <c r="I50" s="89">
        <f t="shared" si="6"/>
        <v>436.9</v>
      </c>
    </row>
    <row r="51" spans="1:9" s="126" customFormat="1" ht="18.75" thickBot="1">
      <c r="A51" s="87" t="s">
        <v>25</v>
      </c>
      <c r="B51" s="32">
        <f>B46-B47-B50-B49-B48</f>
        <v>394.2000000000007</v>
      </c>
      <c r="C51" s="106">
        <f>C46-C47-C50-C49-C48</f>
        <v>533.599999999996</v>
      </c>
      <c r="D51" s="106">
        <f>D46-D47-D50-D49-D48</f>
        <v>308.2000000000011</v>
      </c>
      <c r="E51" s="90">
        <f>D51/D46*100</f>
        <v>2.5913096118921195</v>
      </c>
      <c r="F51" s="90">
        <f t="shared" si="7"/>
        <v>78.1836631151701</v>
      </c>
      <c r="G51" s="90">
        <f t="shared" si="5"/>
        <v>57.758620689655814</v>
      </c>
      <c r="H51" s="89">
        <f t="shared" si="8"/>
        <v>85.9999999999996</v>
      </c>
      <c r="I51" s="89">
        <f t="shared" si="6"/>
        <v>225.39999999999492</v>
      </c>
    </row>
    <row r="52" spans="1:10" ht="18.75" thickBot="1">
      <c r="A52" s="18" t="s">
        <v>4</v>
      </c>
      <c r="B52" s="34">
        <f>39511.6-221.7+59.5</f>
        <v>39349.4</v>
      </c>
      <c r="C52" s="35">
        <f>54626.8-33-1640-1100-400-221.7+600</f>
        <v>51832.100000000006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+275.5+1169.7+99.6-0.1+13.5+204.5+170.1+217.2+603.8+0.2+19.6+9.7+297.5+1715.9+336.5+0.1</f>
        <v>31517.800000000007</v>
      </c>
      <c r="E52" s="3">
        <f>D52/D156*100</f>
        <v>1.7922768163646075</v>
      </c>
      <c r="F52" s="3">
        <f>D52/B52*100</f>
        <v>80.09728229655344</v>
      </c>
      <c r="G52" s="3">
        <f t="shared" si="5"/>
        <v>60.80749188244351</v>
      </c>
      <c r="H52" s="36">
        <f>B52-D52</f>
        <v>7831.599999999995</v>
      </c>
      <c r="I52" s="36">
        <f t="shared" si="6"/>
        <v>20314.3</v>
      </c>
      <c r="J52" s="126"/>
    </row>
    <row r="53" spans="1:9" s="126" customFormat="1" ht="18">
      <c r="A53" s="87" t="s">
        <v>3</v>
      </c>
      <c r="B53" s="31">
        <v>20157.4</v>
      </c>
      <c r="C53" s="32">
        <v>25959.9</v>
      </c>
      <c r="D53" s="33">
        <f>721.7+980.4+865.2+984.4+270.7+792.3+9.9+66.7+1210.9+835.2+313.7+945.1+17.3+739.5+1432.2+7.4+1036.6-0.2+2347.5+193+703.6+685.6+56.7+0.1+432.5+932.1-0.1+170.1+602.1+0.2+0.2+55.8+1295.5</f>
        <v>18703.9</v>
      </c>
      <c r="E53" s="90">
        <f>D53/D52*100</f>
        <v>59.34392628927145</v>
      </c>
      <c r="F53" s="90">
        <f t="shared" si="7"/>
        <v>92.78924861341244</v>
      </c>
      <c r="G53" s="90">
        <f t="shared" si="5"/>
        <v>72.04919895685269</v>
      </c>
      <c r="H53" s="89">
        <f t="shared" si="8"/>
        <v>1453.5</v>
      </c>
      <c r="I53" s="89">
        <f t="shared" si="6"/>
        <v>7256</v>
      </c>
    </row>
    <row r="54" spans="1:9" s="126" customFormat="1" ht="18">
      <c r="A54" s="87" t="s">
        <v>2</v>
      </c>
      <c r="B54" s="31">
        <v>6.2</v>
      </c>
      <c r="C54" s="32">
        <v>16.4</v>
      </c>
      <c r="D54" s="33"/>
      <c r="E54" s="90">
        <f>D54/D52*100</f>
        <v>0</v>
      </c>
      <c r="F54" s="90">
        <f>D54/B54*100</f>
        <v>0</v>
      </c>
      <c r="G54" s="90">
        <f t="shared" si="5"/>
        <v>0</v>
      </c>
      <c r="H54" s="89">
        <f t="shared" si="8"/>
        <v>6.2</v>
      </c>
      <c r="I54" s="89">
        <f t="shared" si="6"/>
        <v>16.4</v>
      </c>
    </row>
    <row r="55" spans="1:9" s="126" customFormat="1" ht="18">
      <c r="A55" s="87" t="s">
        <v>1</v>
      </c>
      <c r="B55" s="31">
        <f>3178.7-140-9.8</f>
        <v>3028.8999999999996</v>
      </c>
      <c r="C55" s="32">
        <f>4332.1-250-15-140-6.1</f>
        <v>3921.0000000000005</v>
      </c>
      <c r="D55" s="33">
        <f>3.2+7.6+9.6+11.4+10.1+24.7+6.6+7.8+2.3+6.6+70.1+102.1+3.2+185.8+105+116.2+245+84+7.3+8.9+0.2+110.8+122.9-0.1+5.4+43.7+5.9+0.4+35.5+6.2+57+84.1+17.2+1.6+53.4+53+36.6+149.5+10.5+1.6-0.1+8.2+166.1</f>
        <v>1987.1000000000004</v>
      </c>
      <c r="E55" s="90">
        <f>D55/D52*100</f>
        <v>6.304691317287374</v>
      </c>
      <c r="F55" s="90">
        <f t="shared" si="7"/>
        <v>65.60467496450859</v>
      </c>
      <c r="G55" s="90">
        <f t="shared" si="5"/>
        <v>50.678398367763336</v>
      </c>
      <c r="H55" s="89">
        <f t="shared" si="8"/>
        <v>1041.7999999999993</v>
      </c>
      <c r="I55" s="89">
        <f t="shared" si="6"/>
        <v>1933.9</v>
      </c>
    </row>
    <row r="56" spans="1:9" s="126" customFormat="1" ht="18">
      <c r="A56" s="87" t="s">
        <v>0</v>
      </c>
      <c r="B56" s="31">
        <v>882.7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0.3+1.2+21.4+80.5+2.4+14.5+22.9+268+5.9+0.1+8.8+0.5+18.5+22.5+0.1+5.1+69.1+23+1.1+16.4+1+37.3+17.3+14.3+2.9+3.7+0.1+2.9+7.3+0.4+17.9+0.9-0.1+5.7+23.8-10.1+1.2+3.1+0.4+13.1+0.8+0.3+0.6</f>
        <v>727.0999999999998</v>
      </c>
      <c r="E56" s="90">
        <f>D56/D52*100</f>
        <v>2.30695035821028</v>
      </c>
      <c r="F56" s="90">
        <f t="shared" si="7"/>
        <v>82.37226690834936</v>
      </c>
      <c r="G56" s="90">
        <f t="shared" si="5"/>
        <v>51.512575274530626</v>
      </c>
      <c r="H56" s="89">
        <f t="shared" si="8"/>
        <v>155.60000000000025</v>
      </c>
      <c r="I56" s="89">
        <f t="shared" si="6"/>
        <v>684.4000000000002</v>
      </c>
    </row>
    <row r="57" spans="1:9" s="126" customFormat="1" ht="18">
      <c r="A57" s="87" t="s">
        <v>12</v>
      </c>
      <c r="B57" s="31">
        <f>2935.7+59.5</f>
        <v>2995.2</v>
      </c>
      <c r="C57" s="32">
        <f>4640-960+600</f>
        <v>4280</v>
      </c>
      <c r="D57" s="32">
        <f>227+242+245+245+245+245+245+306.3</f>
        <v>2000.3</v>
      </c>
      <c r="E57" s="90">
        <f>D57/D52*100</f>
        <v>6.346572413049133</v>
      </c>
      <c r="F57" s="90">
        <f>D57/B57*100</f>
        <v>66.78352029914531</v>
      </c>
      <c r="G57" s="90">
        <f>D57/C57*100</f>
        <v>46.73598130841121</v>
      </c>
      <c r="H57" s="89">
        <f t="shared" si="8"/>
        <v>994.8999999999999</v>
      </c>
      <c r="I57" s="89">
        <f t="shared" si="6"/>
        <v>2279.7</v>
      </c>
    </row>
    <row r="58" spans="1:9" s="126" customFormat="1" ht="18.75" thickBot="1">
      <c r="A58" s="87" t="s">
        <v>25</v>
      </c>
      <c r="B58" s="32">
        <f>B52-B53-B56-B55-B54-B57</f>
        <v>12279</v>
      </c>
      <c r="C58" s="32">
        <f>C52-C53-C56-C55-C54-C57</f>
        <v>16243.300000000003</v>
      </c>
      <c r="D58" s="32">
        <f>D52-D53-D56-D55-D54-D57</f>
        <v>8099.400000000004</v>
      </c>
      <c r="E58" s="90">
        <f>D58/D52*100</f>
        <v>25.697859622181756</v>
      </c>
      <c r="F58" s="90">
        <f t="shared" si="7"/>
        <v>65.96139750794042</v>
      </c>
      <c r="G58" s="90">
        <f t="shared" si="5"/>
        <v>49.863020445352866</v>
      </c>
      <c r="H58" s="89">
        <f>B58-D58</f>
        <v>4179.599999999996</v>
      </c>
      <c r="I58" s="89">
        <f>C58-D58</f>
        <v>8143.899999999999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7717.6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80.6+106+88.7+4.1+0.3+50.7+49.2+44+180.6+100.8+125+0.6+0.8+205.4-0.2+30.8+60.6+59.8+0.5+2.3+86.2+133.9+48.6-0.1+49.5+49.3+61.5+235.8+7.3+105+495.2+130.9+134.1+450.8+421.5+647.3+146.2+976.5+7.7+0.1+100+1144.9+45.9+52.2+0.9+4.7+0.3+2.4+182.4+123+43.2+47.7+1.1+175+205.6</f>
        <v>7507.199999999998</v>
      </c>
      <c r="E60" s="3">
        <f>D60/D156*100</f>
        <v>0.42690100564799494</v>
      </c>
      <c r="F60" s="3">
        <f>D60/B60*100</f>
        <v>97.27376386441378</v>
      </c>
      <c r="G60" s="3">
        <f t="shared" si="5"/>
        <v>84.78975366787516</v>
      </c>
      <c r="H60" s="36">
        <f>B60-D60</f>
        <v>210.40000000000236</v>
      </c>
      <c r="I60" s="36">
        <f t="shared" si="6"/>
        <v>1346.7000000000016</v>
      </c>
      <c r="J60" s="126"/>
    </row>
    <row r="61" spans="1:9" s="126" customFormat="1" ht="18">
      <c r="A61" s="87" t="s">
        <v>3</v>
      </c>
      <c r="B61" s="154">
        <v>2745.2</v>
      </c>
      <c r="C61" s="106">
        <v>3626.9</v>
      </c>
      <c r="D61" s="89">
        <f>80.6+106+88.7+4.1+50.7+38.1+180.6+95.6+203.1+54.2+59.8+86.2+109.7+0.1+49.5+34.4+208.9+102+130.9+94.1+121.3+0.1+99.9+81.5-0.1+45.9+52.2+180.8+33.5+47.7+199.1</f>
        <v>2639.2000000000003</v>
      </c>
      <c r="E61" s="90">
        <f>D61/D60*100</f>
        <v>35.15558397271953</v>
      </c>
      <c r="F61" s="90">
        <f t="shared" si="7"/>
        <v>96.13871484773424</v>
      </c>
      <c r="G61" s="90">
        <f t="shared" si="5"/>
        <v>72.76737709889989</v>
      </c>
      <c r="H61" s="89">
        <f t="shared" si="8"/>
        <v>105.99999999999955</v>
      </c>
      <c r="I61" s="89">
        <f t="shared" si="6"/>
        <v>987.6999999999998</v>
      </c>
    </row>
    <row r="62" spans="1:9" s="126" customFormat="1" ht="18">
      <c r="A62" s="87" t="s">
        <v>1</v>
      </c>
      <c r="B62" s="154">
        <v>420</v>
      </c>
      <c r="C62" s="106">
        <v>420</v>
      </c>
      <c r="D62" s="89">
        <f>351.5+65.9</f>
        <v>417.4</v>
      </c>
      <c r="E62" s="90">
        <f>D62/D60*100</f>
        <v>5.559995737425407</v>
      </c>
      <c r="F62" s="90">
        <f>D62/B62*100</f>
        <v>99.38095238095238</v>
      </c>
      <c r="G62" s="90">
        <f t="shared" si="5"/>
        <v>99.38095238095238</v>
      </c>
      <c r="H62" s="89">
        <f t="shared" si="8"/>
        <v>2.6000000000000227</v>
      </c>
      <c r="I62" s="89">
        <f t="shared" si="6"/>
        <v>2.6000000000000227</v>
      </c>
    </row>
    <row r="63" spans="1:9" s="126" customFormat="1" ht="18">
      <c r="A63" s="87" t="s">
        <v>0</v>
      </c>
      <c r="B63" s="154">
        <v>331.3</v>
      </c>
      <c r="C63" s="106">
        <v>475.3</v>
      </c>
      <c r="D63" s="89">
        <f>9.6+44+118.7+0.1+30.8+0.2+16.8+0.1+13.9+3.1+7+0.8+0.9+4.6+0.1+0.5+0.8+0.5+1</f>
        <v>253.50000000000003</v>
      </c>
      <c r="E63" s="90">
        <f>D63/D60*100</f>
        <v>3.3767583120204616</v>
      </c>
      <c r="F63" s="90">
        <f t="shared" si="7"/>
        <v>76.51675218834893</v>
      </c>
      <c r="G63" s="90">
        <f t="shared" si="5"/>
        <v>53.33473595623816</v>
      </c>
      <c r="H63" s="89">
        <f t="shared" si="8"/>
        <v>77.79999999999998</v>
      </c>
      <c r="I63" s="89">
        <f t="shared" si="6"/>
        <v>221.79999999999998</v>
      </c>
    </row>
    <row r="64" spans="1:9" s="126" customFormat="1" ht="18">
      <c r="A64" s="87" t="s">
        <v>12</v>
      </c>
      <c r="B64" s="154">
        <v>3434.1</v>
      </c>
      <c r="C64" s="106">
        <f>4848.7-1414.6</f>
        <v>3434.1</v>
      </c>
      <c r="D64" s="89">
        <f>494.9+450.8+494.9+146.2+852.6+994.7</f>
        <v>3434.1000000000004</v>
      </c>
      <c r="E64" s="90">
        <f>D64/D60*100</f>
        <v>45.74408567774938</v>
      </c>
      <c r="F64" s="90">
        <f t="shared" si="7"/>
        <v>100.00000000000003</v>
      </c>
      <c r="G64" s="90">
        <f t="shared" si="5"/>
        <v>100.00000000000003</v>
      </c>
      <c r="H64" s="89">
        <f t="shared" si="8"/>
        <v>0</v>
      </c>
      <c r="I64" s="89">
        <f t="shared" si="6"/>
        <v>0</v>
      </c>
    </row>
    <row r="65" spans="1:9" s="126" customFormat="1" ht="18.75" thickBot="1">
      <c r="A65" s="87" t="s">
        <v>25</v>
      </c>
      <c r="B65" s="32">
        <f>B60-B61-B63-B64-B62</f>
        <v>787.0000000000005</v>
      </c>
      <c r="C65" s="106">
        <f>C60-C61-C63-C64-C62</f>
        <v>897.5999999999999</v>
      </c>
      <c r="D65" s="106">
        <f>D60-D61-D63-D64-D62</f>
        <v>762.9999999999978</v>
      </c>
      <c r="E65" s="90">
        <f>D65/D60*100</f>
        <v>10.163576300085225</v>
      </c>
      <c r="F65" s="90">
        <f t="shared" si="7"/>
        <v>96.95044472681035</v>
      </c>
      <c r="G65" s="90">
        <f t="shared" si="5"/>
        <v>85.00445632798551</v>
      </c>
      <c r="H65" s="89">
        <f t="shared" si="8"/>
        <v>24.000000000002615</v>
      </c>
      <c r="I65" s="89">
        <f t="shared" si="6"/>
        <v>134.60000000000207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345.5</v>
      </c>
      <c r="C70" s="35">
        <f>C71+C72</f>
        <v>408.6</v>
      </c>
      <c r="D70" s="36">
        <f>D71+D72</f>
        <v>248.3</v>
      </c>
      <c r="E70" s="27">
        <f>D70/D156*100</f>
        <v>0.014119714367859809</v>
      </c>
      <c r="F70" s="3">
        <f>D70/B70*100</f>
        <v>71.86685962373373</v>
      </c>
      <c r="G70" s="3">
        <f t="shared" si="5"/>
        <v>60.76847772883015</v>
      </c>
      <c r="H70" s="36">
        <f>B70-D70</f>
        <v>97.19999999999999</v>
      </c>
      <c r="I70" s="36">
        <f t="shared" si="6"/>
        <v>160.3</v>
      </c>
      <c r="J70" s="126"/>
    </row>
    <row r="71" spans="1:9" s="126" customFormat="1" ht="18">
      <c r="A71" s="87" t="s">
        <v>106</v>
      </c>
      <c r="B71" s="31">
        <v>217.3</v>
      </c>
      <c r="C71" s="32">
        <v>217.3</v>
      </c>
      <c r="D71" s="89">
        <f>50+117.3+50</f>
        <v>217.3</v>
      </c>
      <c r="E71" s="90">
        <f>D71/D70*100</f>
        <v>87.51510269834877</v>
      </c>
      <c r="F71" s="90">
        <f t="shared" si="7"/>
        <v>100</v>
      </c>
      <c r="G71" s="90">
        <f t="shared" si="5"/>
        <v>100</v>
      </c>
      <c r="H71" s="89">
        <f t="shared" si="8"/>
        <v>0</v>
      </c>
      <c r="I71" s="89">
        <f t="shared" si="6"/>
        <v>0</v>
      </c>
    </row>
    <row r="72" spans="1:9" s="126" customFormat="1" ht="21" customHeight="1">
      <c r="A72" s="139" t="s">
        <v>107</v>
      </c>
      <c r="B72" s="31">
        <v>128.2</v>
      </c>
      <c r="C72" s="32">
        <f>396.5-65.8-22.7-7.6-44.6-43.5-21</f>
        <v>191.29999999999998</v>
      </c>
      <c r="D72" s="89">
        <f>0.6+6.4+23.4+0.7-0.1</f>
        <v>30.999999999999996</v>
      </c>
      <c r="E72" s="90">
        <f>D72/D71*100</f>
        <v>14.265991716520936</v>
      </c>
      <c r="F72" s="90">
        <f t="shared" si="7"/>
        <v>24.180967238689547</v>
      </c>
      <c r="G72" s="90">
        <f t="shared" si="5"/>
        <v>16.20491374803973</v>
      </c>
      <c r="H72" s="89">
        <f t="shared" si="8"/>
        <v>97.19999999999999</v>
      </c>
      <c r="I72" s="89">
        <f t="shared" si="6"/>
        <v>160.29999999999998</v>
      </c>
    </row>
    <row r="73" spans="1:9" s="126" customFormat="1" ht="18.75" thickBot="1">
      <c r="A73" s="87" t="s">
        <v>46</v>
      </c>
      <c r="B73" s="31">
        <f>23.4+0.7</f>
        <v>24.099999999999998</v>
      </c>
      <c r="C73" s="32">
        <f>23.4+0.7</f>
        <v>24.099999999999998</v>
      </c>
      <c r="D73" s="106">
        <f>23.4+0.7</f>
        <v>24.099999999999998</v>
      </c>
      <c r="E73" s="90">
        <f>D73/D72*100</f>
        <v>77.74193548387098</v>
      </c>
      <c r="F73" s="90">
        <f>D73/B73*100</f>
        <v>100</v>
      </c>
      <c r="G73" s="90">
        <f>D73/C73*100</f>
        <v>100</v>
      </c>
      <c r="H73" s="89">
        <f>B73-D73</f>
        <v>0</v>
      </c>
      <c r="I73" s="89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6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6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6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6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6"/>
    </row>
    <row r="79" spans="1:10" s="29" customFormat="1" ht="19.5" thickBot="1">
      <c r="A79" s="21" t="s">
        <v>11</v>
      </c>
      <c r="B79" s="42">
        <f>80+20</f>
        <v>100</v>
      </c>
      <c r="C79" s="152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28"/>
      <c r="J80" s="126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6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5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5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5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5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6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6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6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6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6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6"/>
    </row>
    <row r="92" spans="1:10" ht="19.5" thickBot="1">
      <c r="A92" s="11" t="s">
        <v>8</v>
      </c>
      <c r="B92" s="41">
        <f>168194.4+300+352.9</f>
        <v>168847.3</v>
      </c>
      <c r="C92" s="35">
        <f>208452.8+200+77.9-200+1000.1+7691.5+605.2+352.9</f>
        <v>218180.4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+102+309.4+863.4+791.5+5185.3+0.2+2016.7+9.2+204.3+37.1+26.4+142.8+112.9+26.2+9.3+2730.8+3278.9+30.5+24.5+5.5+2+186.9+13.5+228.6+36.6+2573+5095.8+1670.8-0.2</f>
        <v>160531.29999999993</v>
      </c>
      <c r="E92" s="3">
        <f>D92/D156*100</f>
        <v>9.128699569477297</v>
      </c>
      <c r="F92" s="3">
        <f aca="true" t="shared" si="11" ref="F92:F98">D92/B92*100</f>
        <v>95.07483981088234</v>
      </c>
      <c r="G92" s="3">
        <f t="shared" si="9"/>
        <v>73.57732408593986</v>
      </c>
      <c r="H92" s="36">
        <f aca="true" t="shared" si="12" ref="H92:H98">B92-D92</f>
        <v>8316.000000000058</v>
      </c>
      <c r="I92" s="36">
        <f t="shared" si="10"/>
        <v>57649.100000000064</v>
      </c>
      <c r="J92" s="126"/>
    </row>
    <row r="93" spans="1:9" s="126" customFormat="1" ht="21.75" customHeight="1">
      <c r="A93" s="87" t="s">
        <v>3</v>
      </c>
      <c r="B93" s="105">
        <f>158248.5+300+252.9+9.1</f>
        <v>158810.5</v>
      </c>
      <c r="C93" s="106">
        <f>195523.2+200-200+936+7331.5+583.5+252.9</f>
        <v>204627.1</v>
      </c>
      <c r="D93" s="89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+307.7+772.5+102+783.1+5051+2015.7+9.2+0.1+204.3+37.1+109.8+54.1+2727.5+3263.5+22.2-0.2+104.3+2571.1+5020.5+1669.5</f>
        <v>152874.5</v>
      </c>
      <c r="E93" s="90">
        <f>D93/D92*100</f>
        <v>95.230338258022</v>
      </c>
      <c r="F93" s="90">
        <f t="shared" si="11"/>
        <v>96.26221188145621</v>
      </c>
      <c r="G93" s="90">
        <f t="shared" si="9"/>
        <v>74.7088240022949</v>
      </c>
      <c r="H93" s="89">
        <f t="shared" si="12"/>
        <v>5936</v>
      </c>
      <c r="I93" s="89">
        <f t="shared" si="10"/>
        <v>51752.600000000006</v>
      </c>
    </row>
    <row r="94" spans="1:9" s="126" customFormat="1" ht="18">
      <c r="A94" s="87" t="s">
        <v>23</v>
      </c>
      <c r="B94" s="105">
        <v>1716.8</v>
      </c>
      <c r="C94" s="106">
        <v>2704.7</v>
      </c>
      <c r="D94" s="89">
        <f>10+5.9+981.6+112.5+3.5+4.3+3+9.2+59.4+52.3+6.5+0.9+71.3+23+0.6+0.1+65.9+1.9-0.1+0.8+39.7+1.4+74.5+0.8</f>
        <v>1529.0000000000002</v>
      </c>
      <c r="E94" s="90">
        <f>D94/D92*100</f>
        <v>0.9524622301071509</v>
      </c>
      <c r="F94" s="90">
        <f t="shared" si="11"/>
        <v>89.06104380242313</v>
      </c>
      <c r="G94" s="90">
        <f t="shared" si="9"/>
        <v>56.53122342588828</v>
      </c>
      <c r="H94" s="89">
        <f t="shared" si="12"/>
        <v>187.79999999999973</v>
      </c>
      <c r="I94" s="89">
        <f t="shared" si="10"/>
        <v>1175.6999999999996</v>
      </c>
    </row>
    <row r="95" spans="1:9" s="126" customFormat="1" ht="18" hidden="1">
      <c r="A95" s="87" t="s">
        <v>12</v>
      </c>
      <c r="B95" s="105"/>
      <c r="C95" s="106"/>
      <c r="D95" s="106"/>
      <c r="E95" s="107">
        <f>D95/D92*100</f>
        <v>0</v>
      </c>
      <c r="F95" s="90"/>
      <c r="G95" s="90" t="e">
        <f t="shared" si="9"/>
        <v>#DIV/0!</v>
      </c>
      <c r="H95" s="89">
        <f t="shared" si="12"/>
        <v>0</v>
      </c>
      <c r="I95" s="89">
        <f t="shared" si="10"/>
        <v>0</v>
      </c>
    </row>
    <row r="96" spans="1:9" s="126" customFormat="1" ht="18.75" thickBot="1">
      <c r="A96" s="87" t="s">
        <v>25</v>
      </c>
      <c r="B96" s="106">
        <f>B92-B93-B94-B95</f>
        <v>8319.999999999989</v>
      </c>
      <c r="C96" s="106">
        <f>C92-C93-C94-C95</f>
        <v>10848.599999999988</v>
      </c>
      <c r="D96" s="106">
        <f>D92-D93-D94-D95</f>
        <v>6127.79999999993</v>
      </c>
      <c r="E96" s="90">
        <f>D96/D92*100</f>
        <v>3.8171995118708515</v>
      </c>
      <c r="F96" s="90">
        <f t="shared" si="11"/>
        <v>73.65144230769157</v>
      </c>
      <c r="G96" s="90">
        <f>D96/C96*100</f>
        <v>56.48470770421932</v>
      </c>
      <c r="H96" s="89">
        <f t="shared" si="12"/>
        <v>2192.200000000059</v>
      </c>
      <c r="I96" s="89">
        <f>C96-D96</f>
        <v>4720.8000000000575</v>
      </c>
    </row>
    <row r="97" spans="1:10" ht="18.75">
      <c r="A97" s="74" t="s">
        <v>10</v>
      </c>
      <c r="B97" s="82">
        <f>85260.1+3259.9+205</f>
        <v>88725</v>
      </c>
      <c r="C97" s="77">
        <f>83543+41100+1904.1+3500+20+3672-160+681.4</f>
        <v>134260.5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+899+638.4+352.1+18.6+127.4+3281.8+1137.6+2.2+5.2+936.4+253.7+32.3+1034.1+18.3+745.5+526.3+464.6+279.6+745.4+9687.8</f>
        <v>85264</v>
      </c>
      <c r="E97" s="73">
        <f>D97/D156*100</f>
        <v>4.848583672417233</v>
      </c>
      <c r="F97" s="75">
        <f t="shared" si="11"/>
        <v>96.09918286841364</v>
      </c>
      <c r="G97" s="72">
        <f>D97/C97*100</f>
        <v>63.50639242368381</v>
      </c>
      <c r="H97" s="76">
        <f t="shared" si="12"/>
        <v>3461</v>
      </c>
      <c r="I97" s="78">
        <f>C97-D97</f>
        <v>48996.5</v>
      </c>
      <c r="J97" s="126"/>
    </row>
    <row r="98" spans="1:9" s="126" customFormat="1" ht="18.75" thickBot="1">
      <c r="A98" s="108" t="s">
        <v>81</v>
      </c>
      <c r="B98" s="109">
        <v>12095.1</v>
      </c>
      <c r="C98" s="110">
        <f>16376.6+53.4</f>
        <v>16430</v>
      </c>
      <c r="D98" s="111">
        <f>101+2.6+598.7+1.6+2603.8+3.8+0.7+1149.5+2.1+129.3+1033.7+0.3+164.7+461.5+907.4+167.5+105.4+83.7+677.1+35.3+47.9+8.7+62.1+35+659.5+47.8+1.1+7.6+40+127.4+745.4+2.2+6.1+12.3+39.7</f>
        <v>10072.5</v>
      </c>
      <c r="E98" s="112">
        <f>D98/D97*100</f>
        <v>11.813309251266654</v>
      </c>
      <c r="F98" s="113">
        <f t="shared" si="11"/>
        <v>83.27752560954436</v>
      </c>
      <c r="G98" s="114">
        <f>D98/C98*100</f>
        <v>61.305538648813155</v>
      </c>
      <c r="H98" s="115">
        <f t="shared" si="12"/>
        <v>2022.6000000000004</v>
      </c>
      <c r="I98" s="104">
        <f>C98-D98</f>
        <v>6357.5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6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6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28"/>
      <c r="J101" s="126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4"/>
    </row>
    <row r="103" spans="1:10" ht="6.75" customHeight="1" hidden="1" thickBot="1">
      <c r="A103" s="129"/>
      <c r="B103" s="130"/>
      <c r="C103" s="52"/>
      <c r="D103" s="53"/>
      <c r="E103" s="12"/>
      <c r="F103" s="6"/>
      <c r="G103" s="6"/>
      <c r="H103" s="48"/>
      <c r="I103" s="128"/>
      <c r="J103" s="126"/>
    </row>
    <row r="104" spans="1:10" s="29" customFormat="1" ht="19.5" thickBot="1">
      <c r="A104" s="11" t="s">
        <v>9</v>
      </c>
      <c r="B104" s="81">
        <f>55607.6-685-30.3</f>
        <v>54892.299999999996</v>
      </c>
      <c r="C104" s="64">
        <f>73778+7.6+15.1-60.1+7.6-42.3+7.6+46-0.1-685-35+3511.2</f>
        <v>76550.6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+541.9+2009.6+34+4+34.5+81.4+37+1995.6+81.4+13.5+12.5+24.7+31.3+7.8+157.8+15+1885.5+3.6+5.4+335.1+55.2+55.5</f>
        <v>47081.00000000001</v>
      </c>
      <c r="E104" s="16">
        <f>D104/D156*100</f>
        <v>2.677286637749528</v>
      </c>
      <c r="F104" s="16">
        <f>D104/B104*100</f>
        <v>85.76977098791636</v>
      </c>
      <c r="G104" s="16">
        <f aca="true" t="shared" si="13" ref="G104:G154">D104/C104*100</f>
        <v>61.503110360989986</v>
      </c>
      <c r="H104" s="60">
        <f aca="true" t="shared" si="14" ref="H104:H154">B104-D104</f>
        <v>7811.299999999988</v>
      </c>
      <c r="I104" s="60">
        <f aca="true" t="shared" si="15" ref="I104:I154">C104-D104</f>
        <v>29469.6</v>
      </c>
      <c r="J104" s="83"/>
    </row>
    <row r="105" spans="1:9" s="126" customFormat="1" ht="18.75" customHeight="1">
      <c r="A105" s="87" t="s">
        <v>3</v>
      </c>
      <c r="B105" s="97">
        <v>380.5</v>
      </c>
      <c r="C105" s="98">
        <v>543.6</v>
      </c>
      <c r="D105" s="98">
        <f>19.3+40.4+6+27+20.5+24.8+29.6+28.9+1.8+28.7-0.1+31.3+29.6</f>
        <v>287.8</v>
      </c>
      <c r="E105" s="99">
        <f>D105/D104*100</f>
        <v>0.6112869310337503</v>
      </c>
      <c r="F105" s="90">
        <f>D105/B105*100</f>
        <v>75.63731931668856</v>
      </c>
      <c r="G105" s="99">
        <f>D105/C105*100</f>
        <v>52.94334069168506</v>
      </c>
      <c r="H105" s="98">
        <f t="shared" si="14"/>
        <v>92.69999999999999</v>
      </c>
      <c r="I105" s="98">
        <f t="shared" si="15"/>
        <v>255.8</v>
      </c>
    </row>
    <row r="106" spans="1:9" s="126" customFormat="1" ht="18">
      <c r="A106" s="100" t="s">
        <v>46</v>
      </c>
      <c r="B106" s="88">
        <f>49569.2-685-30.3</f>
        <v>48853.899999999994</v>
      </c>
      <c r="C106" s="89">
        <f>65554.9+7.6+15.1-60.1+45.6-3+37.7+7.6-160-18.9-685-35</f>
        <v>64706.50000000001</v>
      </c>
      <c r="D106" s="89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+2+1935+15.5+4+5.8+81.4+1995.6-30.9+66.5+3.6+19.4+7.8+146.4+1885.5+3.6+5.4+318.3+11.8</f>
        <v>42782.06000000003</v>
      </c>
      <c r="E106" s="90">
        <f>D106/D104*100</f>
        <v>90.86905545761564</v>
      </c>
      <c r="F106" s="90">
        <f aca="true" t="shared" si="16" ref="F106:F154">D106/B106*100</f>
        <v>87.57143237285054</v>
      </c>
      <c r="G106" s="90">
        <f t="shared" si="13"/>
        <v>66.11709797315575</v>
      </c>
      <c r="H106" s="89">
        <f t="shared" si="14"/>
        <v>6071.839999999967</v>
      </c>
      <c r="I106" s="89">
        <f t="shared" si="15"/>
        <v>21924.43999999998</v>
      </c>
    </row>
    <row r="107" spans="1:9" s="126" customFormat="1" ht="54.75" hidden="1" thickBot="1">
      <c r="A107" s="101" t="s">
        <v>77</v>
      </c>
      <c r="B107" s="102"/>
      <c r="C107" s="102"/>
      <c r="D107" s="102"/>
      <c r="E107" s="103">
        <f>D107/D104*100</f>
        <v>0</v>
      </c>
      <c r="F107" s="103" t="e">
        <f>D107/B107*100</f>
        <v>#DIV/0!</v>
      </c>
      <c r="G107" s="103" t="e">
        <f>D107/C107*100</f>
        <v>#DIV/0!</v>
      </c>
      <c r="H107" s="104">
        <f t="shared" si="14"/>
        <v>0</v>
      </c>
      <c r="I107" s="104">
        <f>C107-D107</f>
        <v>0</v>
      </c>
    </row>
    <row r="108" spans="1:9" s="126" customFormat="1" ht="18.75" thickBot="1">
      <c r="A108" s="101" t="s">
        <v>25</v>
      </c>
      <c r="B108" s="102">
        <f>B104-B105-B106</f>
        <v>5657.9000000000015</v>
      </c>
      <c r="C108" s="102">
        <f>C104-C105-C106</f>
        <v>11300.499999999993</v>
      </c>
      <c r="D108" s="102">
        <f>D104-D105-D106</f>
        <v>4011.1399999999776</v>
      </c>
      <c r="E108" s="103">
        <f>D108/D104*100</f>
        <v>8.519657611350603</v>
      </c>
      <c r="F108" s="103">
        <f t="shared" si="16"/>
        <v>70.89450149348657</v>
      </c>
      <c r="G108" s="103">
        <f t="shared" si="13"/>
        <v>35.49524357329304</v>
      </c>
      <c r="H108" s="164">
        <f t="shared" si="14"/>
        <v>1646.7600000000239</v>
      </c>
      <c r="I108" s="104">
        <f t="shared" si="15"/>
        <v>7289.360000000015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459076.50000000006</v>
      </c>
      <c r="C109" s="62">
        <f>SUM(C110:C153)-C117-C122+C154-C144-C145-C111-C114-C125-C126-C142-C135-C133-C140-C120</f>
        <v>635015.8</v>
      </c>
      <c r="D109" s="62">
        <f>SUM(D110:D153)-D117-D122+D154-D144-D145-D111-D114-D125-D126-D142-D135-D133-D140-D120</f>
        <v>452239.41979</v>
      </c>
      <c r="E109" s="63">
        <f>D109/D156*100</f>
        <v>25.716840246965152</v>
      </c>
      <c r="F109" s="63">
        <f>D109/B109*100</f>
        <v>98.51068826001766</v>
      </c>
      <c r="G109" s="63">
        <f t="shared" si="13"/>
        <v>71.21703425174617</v>
      </c>
      <c r="H109" s="62">
        <f t="shared" si="14"/>
        <v>6837.080210000044</v>
      </c>
      <c r="I109" s="62">
        <f t="shared" si="15"/>
        <v>182776.38021000003</v>
      </c>
      <c r="J109" s="94"/>
    </row>
    <row r="110" spans="1:9" s="126" customFormat="1" ht="37.5">
      <c r="A110" s="141" t="s">
        <v>50</v>
      </c>
      <c r="B110" s="142">
        <f>3077.2+195</f>
        <v>3272.2</v>
      </c>
      <c r="C110" s="122">
        <f>4983.7+195</f>
        <v>5178.7</v>
      </c>
      <c r="D110" s="165">
        <f>1.8+140.5+138.5+0.9+33+80.9+13.3+0.1+53.3+109+1.4+124.9+19.8+24.9+9+3.6+91.3+61.8+18.7+59+14.7+34.7+0.1+2.2+3.8+2.1+129.5+15.3+0.5-0.3+15.6+0.9+145.2+1.4+33.8+73+26.3+109.9+61.1+11.7+3.2-0.1+0.6+6.1+144.6+0.5+9.9+3.3+47+128.6+1.3+2.1+22.9+7.9</f>
        <v>2045.0999999999997</v>
      </c>
      <c r="E110" s="84">
        <f>D110/D109*100</f>
        <v>0.4522162178939761</v>
      </c>
      <c r="F110" s="84">
        <f t="shared" si="16"/>
        <v>62.49923598802029</v>
      </c>
      <c r="G110" s="84">
        <f t="shared" si="13"/>
        <v>39.49060575047791</v>
      </c>
      <c r="H110" s="85">
        <f t="shared" si="14"/>
        <v>1227.1000000000001</v>
      </c>
      <c r="I110" s="85">
        <f t="shared" si="15"/>
        <v>3133.6000000000004</v>
      </c>
    </row>
    <row r="111" spans="1:9" s="126" customFormat="1" ht="18">
      <c r="A111" s="87" t="s">
        <v>23</v>
      </c>
      <c r="B111" s="88">
        <v>1360.6</v>
      </c>
      <c r="C111" s="89">
        <v>2332.2</v>
      </c>
      <c r="D111" s="166">
        <f>2.4+138.5+0.9+33.1+80.9+53.3+1.8+1.1+124.9+24.9+6.2+38.5+59+14.7+33.9+0.6+2.3+35.5+60-0.1+40.7+47</f>
        <v>800.1</v>
      </c>
      <c r="E111" s="90">
        <f>D111/D110*100</f>
        <v>39.1227812820889</v>
      </c>
      <c r="F111" s="90">
        <f t="shared" si="16"/>
        <v>58.80493899750111</v>
      </c>
      <c r="G111" s="90">
        <f t="shared" si="13"/>
        <v>34.306663236429124</v>
      </c>
      <c r="H111" s="89">
        <f t="shared" si="14"/>
        <v>560.4999999999999</v>
      </c>
      <c r="I111" s="89">
        <f t="shared" si="15"/>
        <v>1532.1</v>
      </c>
    </row>
    <row r="112" spans="1:9" s="126" customFormat="1" ht="34.5" customHeight="1" hidden="1">
      <c r="A112" s="143" t="s">
        <v>76</v>
      </c>
      <c r="B112" s="144"/>
      <c r="C112" s="85"/>
      <c r="D112" s="165"/>
      <c r="E112" s="84">
        <f>D112/D109*100</f>
        <v>0</v>
      </c>
      <c r="F112" s="84" t="e">
        <f>D112/B112*100</f>
        <v>#DIV/0!</v>
      </c>
      <c r="G112" s="84" t="e">
        <f t="shared" si="13"/>
        <v>#DIV/0!</v>
      </c>
      <c r="H112" s="85">
        <f t="shared" si="14"/>
        <v>0</v>
      </c>
      <c r="I112" s="85">
        <f t="shared" si="15"/>
        <v>0</v>
      </c>
    </row>
    <row r="113" spans="1:9" s="83" customFormat="1" ht="34.5" customHeight="1">
      <c r="A113" s="143" t="s">
        <v>91</v>
      </c>
      <c r="B113" s="144">
        <v>225</v>
      </c>
      <c r="C113" s="91">
        <v>300</v>
      </c>
      <c r="D113" s="158"/>
      <c r="E113" s="84">
        <f>D113/D109*100</f>
        <v>0</v>
      </c>
      <c r="F113" s="84">
        <f t="shared" si="16"/>
        <v>0</v>
      </c>
      <c r="G113" s="84">
        <f t="shared" si="13"/>
        <v>0</v>
      </c>
      <c r="H113" s="85">
        <f t="shared" si="14"/>
        <v>225</v>
      </c>
      <c r="I113" s="85">
        <f t="shared" si="15"/>
        <v>300</v>
      </c>
    </row>
    <row r="114" spans="1:9" s="126" customFormat="1" ht="18.75" customHeight="1" hidden="1">
      <c r="A114" s="87" t="s">
        <v>23</v>
      </c>
      <c r="B114" s="88"/>
      <c r="C114" s="89"/>
      <c r="D114" s="166"/>
      <c r="E114" s="90"/>
      <c r="F114" s="90" t="e">
        <f t="shared" si="16"/>
        <v>#DIV/0!</v>
      </c>
      <c r="G114" s="90" t="e">
        <f t="shared" si="13"/>
        <v>#DIV/0!</v>
      </c>
      <c r="H114" s="89">
        <f t="shared" si="14"/>
        <v>0</v>
      </c>
      <c r="I114" s="89">
        <f t="shared" si="15"/>
        <v>0</v>
      </c>
    </row>
    <row r="115" spans="1:9" s="126" customFormat="1" ht="18.75" customHeight="1" hidden="1">
      <c r="A115" s="143" t="s">
        <v>87</v>
      </c>
      <c r="B115" s="144"/>
      <c r="C115" s="85"/>
      <c r="D115" s="165"/>
      <c r="E115" s="84">
        <f>D115/D109*100</f>
        <v>0</v>
      </c>
      <c r="F115" s="84" t="e">
        <f t="shared" si="16"/>
        <v>#DIV/0!</v>
      </c>
      <c r="G115" s="84" t="e">
        <f t="shared" si="13"/>
        <v>#DIV/0!</v>
      </c>
      <c r="H115" s="85">
        <f t="shared" si="14"/>
        <v>0</v>
      </c>
      <c r="I115" s="85">
        <f t="shared" si="15"/>
        <v>0</v>
      </c>
    </row>
    <row r="116" spans="1:11" s="126" customFormat="1" ht="37.5">
      <c r="A116" s="143" t="s">
        <v>36</v>
      </c>
      <c r="B116" s="144">
        <v>4331.6</v>
      </c>
      <c r="C116" s="85">
        <v>5785.2</v>
      </c>
      <c r="D116" s="165">
        <f>187.7+10.4+531.5+38.4+44.9+0.1+53.3+13.7+14.6+4.3+409.7+22.6+33.2+12.9+10.1+431+0.1+44.6+9.7+432.7+17.3+360.1+31.7-0.1+261.4+138.4+11.8+4.8+433.3+0.1+36.9+406.6</f>
        <v>4007.8</v>
      </c>
      <c r="E116" s="84">
        <f>D116/D109*100</f>
        <v>0.886211998472191</v>
      </c>
      <c r="F116" s="84">
        <f t="shared" si="16"/>
        <v>92.52470218856773</v>
      </c>
      <c r="G116" s="84">
        <f t="shared" si="13"/>
        <v>69.27677521952569</v>
      </c>
      <c r="H116" s="85">
        <f t="shared" si="14"/>
        <v>323.8000000000002</v>
      </c>
      <c r="I116" s="85">
        <f t="shared" si="15"/>
        <v>1777.3999999999996</v>
      </c>
      <c r="K116" s="148">
        <f>H124+H143</f>
        <v>882.8999999999997</v>
      </c>
    </row>
    <row r="117" spans="1:9" s="126" customFormat="1" ht="18" hidden="1">
      <c r="A117" s="145" t="s">
        <v>41</v>
      </c>
      <c r="B117" s="88"/>
      <c r="C117" s="89"/>
      <c r="D117" s="166"/>
      <c r="E117" s="84"/>
      <c r="F117" s="84" t="e">
        <f t="shared" si="16"/>
        <v>#DIV/0!</v>
      </c>
      <c r="G117" s="90" t="e">
        <f t="shared" si="13"/>
        <v>#DIV/0!</v>
      </c>
      <c r="H117" s="89">
        <f t="shared" si="14"/>
        <v>0</v>
      </c>
      <c r="I117" s="89">
        <f t="shared" si="15"/>
        <v>0</v>
      </c>
    </row>
    <row r="118" spans="1:9" s="83" customFormat="1" ht="18.75" customHeight="1" hidden="1">
      <c r="A118" s="143" t="s">
        <v>88</v>
      </c>
      <c r="B118" s="144"/>
      <c r="C118" s="91"/>
      <c r="D118" s="158"/>
      <c r="E118" s="93">
        <f>D118/D109*100</f>
        <v>0</v>
      </c>
      <c r="F118" s="84" t="e">
        <f t="shared" si="16"/>
        <v>#DIV/0!</v>
      </c>
      <c r="G118" s="93" t="e">
        <f t="shared" si="13"/>
        <v>#DIV/0!</v>
      </c>
      <c r="H118" s="91">
        <f t="shared" si="14"/>
        <v>0</v>
      </c>
      <c r="I118" s="91">
        <f t="shared" si="15"/>
        <v>0</v>
      </c>
    </row>
    <row r="119" spans="1:9" s="126" customFormat="1" ht="37.5" hidden="1">
      <c r="A119" s="143" t="s">
        <v>45</v>
      </c>
      <c r="B119" s="144"/>
      <c r="C119" s="85"/>
      <c r="D119" s="165"/>
      <c r="E119" s="84">
        <f>D119/D109*100</f>
        <v>0</v>
      </c>
      <c r="F119" s="84" t="e">
        <f>D119/B119*100</f>
        <v>#DIV/0!</v>
      </c>
      <c r="G119" s="84" t="e">
        <f t="shared" si="13"/>
        <v>#DIV/0!</v>
      </c>
      <c r="H119" s="85">
        <f t="shared" si="14"/>
        <v>0</v>
      </c>
      <c r="I119" s="85">
        <f t="shared" si="15"/>
        <v>0</v>
      </c>
    </row>
    <row r="120" spans="1:9" s="126" customFormat="1" ht="18" hidden="1">
      <c r="A120" s="145" t="s">
        <v>86</v>
      </c>
      <c r="B120" s="88"/>
      <c r="C120" s="89"/>
      <c r="D120" s="166"/>
      <c r="E120" s="90" t="e">
        <f>D120/D119*100</f>
        <v>#DIV/0!</v>
      </c>
      <c r="F120" s="90" t="e">
        <f>D120/B120*100</f>
        <v>#DIV/0!</v>
      </c>
      <c r="G120" s="90" t="e">
        <f>D120/C120*100</f>
        <v>#DIV/0!</v>
      </c>
      <c r="H120" s="89">
        <f>B120-D120</f>
        <v>0</v>
      </c>
      <c r="I120" s="89">
        <f>C120-D120</f>
        <v>0</v>
      </c>
    </row>
    <row r="121" spans="1:9" s="94" customFormat="1" ht="18.75">
      <c r="A121" s="143" t="s">
        <v>13</v>
      </c>
      <c r="B121" s="144">
        <v>729.2</v>
      </c>
      <c r="C121" s="91">
        <v>1024.8</v>
      </c>
      <c r="D121" s="165">
        <f>80.5+0.2+38.8+80.5+0.8+10+10.3+80.5+16.8+0.3+4+80.5+10+10+0.3+0.8+80.5+1.1+1.1+0.2+0.4+0.3+1.7+74.9</f>
        <v>584.5000000000001</v>
      </c>
      <c r="E121" s="84">
        <f>D121/D109*100</f>
        <v>0.12924569916338033</v>
      </c>
      <c r="F121" s="84">
        <f t="shared" si="16"/>
        <v>80.15633571036753</v>
      </c>
      <c r="G121" s="84">
        <f t="shared" si="13"/>
        <v>57.035519125683074</v>
      </c>
      <c r="H121" s="85">
        <f t="shared" si="14"/>
        <v>144.69999999999993</v>
      </c>
      <c r="I121" s="85">
        <f t="shared" si="15"/>
        <v>440.29999999999984</v>
      </c>
    </row>
    <row r="122" spans="1:9" s="95" customFormat="1" ht="18">
      <c r="A122" s="145" t="s">
        <v>41</v>
      </c>
      <c r="B122" s="88">
        <v>483.1</v>
      </c>
      <c r="C122" s="89">
        <v>724.7</v>
      </c>
      <c r="D122" s="166">
        <f>80.5+80.5+80.5+80.5+0.1+80.5+74.9</f>
        <v>477.5</v>
      </c>
      <c r="E122" s="90">
        <f>D122/D121*100</f>
        <v>81.69375534644993</v>
      </c>
      <c r="F122" s="90">
        <f t="shared" si="16"/>
        <v>98.84081970606499</v>
      </c>
      <c r="G122" s="90">
        <f t="shared" si="13"/>
        <v>65.88933351731751</v>
      </c>
      <c r="H122" s="89">
        <f t="shared" si="14"/>
        <v>5.600000000000023</v>
      </c>
      <c r="I122" s="89">
        <f t="shared" si="15"/>
        <v>247.20000000000005</v>
      </c>
    </row>
    <row r="123" spans="1:9" s="94" customFormat="1" ht="18.75">
      <c r="A123" s="143" t="s">
        <v>102</v>
      </c>
      <c r="B123" s="144">
        <f>275-160.5</f>
        <v>114.5</v>
      </c>
      <c r="C123" s="91">
        <f>347-160.5</f>
        <v>186.5</v>
      </c>
      <c r="D123" s="165">
        <f>34.5+13.8+4.3+21.7+20</f>
        <v>94.3</v>
      </c>
      <c r="E123" s="84">
        <f>D123/D109*100</f>
        <v>0.020851786879566746</v>
      </c>
      <c r="F123" s="84">
        <f t="shared" si="16"/>
        <v>82.35807860262008</v>
      </c>
      <c r="G123" s="84">
        <f t="shared" si="13"/>
        <v>50.56300268096514</v>
      </c>
      <c r="H123" s="85">
        <f t="shared" si="14"/>
        <v>20.200000000000003</v>
      </c>
      <c r="I123" s="85">
        <f t="shared" si="15"/>
        <v>92.2</v>
      </c>
    </row>
    <row r="124" spans="1:9" s="94" customFormat="1" ht="21.75" customHeight="1">
      <c r="A124" s="143" t="s">
        <v>92</v>
      </c>
      <c r="B124" s="144">
        <v>917.6</v>
      </c>
      <c r="C124" s="91">
        <f>86+920</f>
        <v>1006</v>
      </c>
      <c r="D124" s="158">
        <f>54.4+15.9+15.6+12.1</f>
        <v>97.99999999999999</v>
      </c>
      <c r="E124" s="93">
        <f>D124/D109*100</f>
        <v>0.02166993758427933</v>
      </c>
      <c r="F124" s="84">
        <f t="shared" si="16"/>
        <v>10.68003487358326</v>
      </c>
      <c r="G124" s="84">
        <f t="shared" si="13"/>
        <v>9.741550695825048</v>
      </c>
      <c r="H124" s="85">
        <f t="shared" si="14"/>
        <v>819.6</v>
      </c>
      <c r="I124" s="85">
        <f t="shared" si="15"/>
        <v>908</v>
      </c>
    </row>
    <row r="125" spans="1:9" s="96" customFormat="1" ht="18" hidden="1">
      <c r="A125" s="87" t="s">
        <v>78</v>
      </c>
      <c r="B125" s="88"/>
      <c r="C125" s="89"/>
      <c r="D125" s="166"/>
      <c r="E125" s="84"/>
      <c r="F125" s="90" t="e">
        <f>D125/B125*100</f>
        <v>#DIV/0!</v>
      </c>
      <c r="G125" s="90" t="e">
        <f t="shared" si="13"/>
        <v>#DIV/0!</v>
      </c>
      <c r="H125" s="89">
        <f t="shared" si="14"/>
        <v>0</v>
      </c>
      <c r="I125" s="89">
        <f t="shared" si="15"/>
        <v>0</v>
      </c>
    </row>
    <row r="126" spans="1:9" s="96" customFormat="1" ht="18" hidden="1">
      <c r="A126" s="87" t="s">
        <v>47</v>
      </c>
      <c r="B126" s="88"/>
      <c r="C126" s="89"/>
      <c r="D126" s="166"/>
      <c r="E126" s="84"/>
      <c r="F126" s="90" t="e">
        <f>D126/B126*100</f>
        <v>#DIV/0!</v>
      </c>
      <c r="G126" s="90" t="e">
        <f t="shared" si="13"/>
        <v>#DIV/0!</v>
      </c>
      <c r="H126" s="89">
        <f t="shared" si="14"/>
        <v>0</v>
      </c>
      <c r="I126" s="89">
        <f t="shared" si="15"/>
        <v>0</v>
      </c>
    </row>
    <row r="127" spans="1:13" s="155" customFormat="1" ht="37.5">
      <c r="A127" s="156" t="s">
        <v>93</v>
      </c>
      <c r="B127" s="149">
        <v>15569.7</v>
      </c>
      <c r="C127" s="157">
        <f>6156.2+17413.5-8000</f>
        <v>15569.7</v>
      </c>
      <c r="D127" s="158">
        <f>871.9+408.1+585.9+900.5+901.8+879.7+893+994.8+887.7+852.4+0.1+789.7+988.1+754.9+941.7+788.3+949.6+785.4+882.7+504.8</f>
        <v>15561.1</v>
      </c>
      <c r="E127" s="159">
        <f>D127/D109*100</f>
        <v>3.4408986300278483</v>
      </c>
      <c r="F127" s="160">
        <f t="shared" si="16"/>
        <v>99.94476451055576</v>
      </c>
      <c r="G127" s="160">
        <f t="shared" si="13"/>
        <v>99.94476451055576</v>
      </c>
      <c r="H127" s="161">
        <f t="shared" si="14"/>
        <v>8.600000000000364</v>
      </c>
      <c r="I127" s="161">
        <f t="shared" si="15"/>
        <v>8.600000000000364</v>
      </c>
      <c r="J127" s="162"/>
      <c r="K127" s="163">
        <f>H110+H113+H116+H121+H123+H129+H130+H132+H134+H138+H139+H141+H150+H70+H128</f>
        <v>4130.765380000001</v>
      </c>
      <c r="L127" s="162"/>
      <c r="M127" s="162"/>
    </row>
    <row r="128" spans="1:11" s="94" customFormat="1" ht="18.75">
      <c r="A128" s="143" t="s">
        <v>89</v>
      </c>
      <c r="B128" s="144">
        <v>96</v>
      </c>
      <c r="C128" s="91">
        <v>150</v>
      </c>
      <c r="D128" s="158"/>
      <c r="E128" s="93">
        <f>D128/D109*100</f>
        <v>0</v>
      </c>
      <c r="F128" s="84">
        <f t="shared" si="16"/>
        <v>0</v>
      </c>
      <c r="G128" s="84">
        <f t="shared" si="13"/>
        <v>0</v>
      </c>
      <c r="H128" s="85">
        <f t="shared" si="14"/>
        <v>96</v>
      </c>
      <c r="I128" s="85">
        <f t="shared" si="15"/>
        <v>150</v>
      </c>
      <c r="K128" s="86">
        <f>H111+H142</f>
        <v>694.6999999999999</v>
      </c>
    </row>
    <row r="129" spans="1:13" s="94" customFormat="1" ht="37.5">
      <c r="A129" s="143" t="s">
        <v>98</v>
      </c>
      <c r="B129" s="144">
        <v>483</v>
      </c>
      <c r="C129" s="91">
        <v>483</v>
      </c>
      <c r="D129" s="158">
        <f>2.2+72.4+20.2</f>
        <v>94.80000000000001</v>
      </c>
      <c r="E129" s="93">
        <f>D129/D109*100</f>
        <v>0.020962347785608987</v>
      </c>
      <c r="F129" s="84">
        <f t="shared" si="16"/>
        <v>19.627329192546586</v>
      </c>
      <c r="G129" s="84">
        <f t="shared" si="13"/>
        <v>19.627329192546586</v>
      </c>
      <c r="H129" s="85">
        <f t="shared" si="14"/>
        <v>388.2</v>
      </c>
      <c r="I129" s="85">
        <f t="shared" si="15"/>
        <v>388.2</v>
      </c>
      <c r="K129" s="86">
        <f>H133+H140</f>
        <v>450.69999999999993</v>
      </c>
      <c r="M129" s="86"/>
    </row>
    <row r="130" spans="1:13" s="94" customFormat="1" ht="37.5" hidden="1">
      <c r="A130" s="143" t="s">
        <v>83</v>
      </c>
      <c r="B130" s="144">
        <f>154.3-154.3</f>
        <v>0</v>
      </c>
      <c r="C130" s="91">
        <f>154.3-154.3</f>
        <v>0</v>
      </c>
      <c r="D130" s="158"/>
      <c r="E130" s="93">
        <f>D130/D109*100</f>
        <v>0</v>
      </c>
      <c r="F130" s="84" t="e">
        <f t="shared" si="16"/>
        <v>#DIV/0!</v>
      </c>
      <c r="G130" s="84" t="e">
        <f t="shared" si="13"/>
        <v>#DIV/0!</v>
      </c>
      <c r="H130" s="85">
        <f t="shared" si="14"/>
        <v>0</v>
      </c>
      <c r="I130" s="85">
        <f t="shared" si="15"/>
        <v>0</v>
      </c>
      <c r="M130" s="86"/>
    </row>
    <row r="131" spans="1:9" s="94" customFormat="1" ht="18.75" hidden="1">
      <c r="A131" s="145" t="s">
        <v>81</v>
      </c>
      <c r="B131" s="144"/>
      <c r="C131" s="91"/>
      <c r="D131" s="158"/>
      <c r="E131" s="93">
        <f>D131/D110*100</f>
        <v>0</v>
      </c>
      <c r="F131" s="84" t="e">
        <f t="shared" si="16"/>
        <v>#DIV/0!</v>
      </c>
      <c r="G131" s="84" t="e">
        <f t="shared" si="13"/>
        <v>#DIV/0!</v>
      </c>
      <c r="H131" s="85">
        <f t="shared" si="14"/>
        <v>0</v>
      </c>
      <c r="I131" s="85">
        <f t="shared" si="15"/>
        <v>0</v>
      </c>
    </row>
    <row r="132" spans="1:13" s="94" customFormat="1" ht="37.5">
      <c r="A132" s="143" t="s">
        <v>55</v>
      </c>
      <c r="B132" s="144">
        <v>845.9</v>
      </c>
      <c r="C132" s="91">
        <v>1003.9</v>
      </c>
      <c r="D132" s="158">
        <f>7.7+12.9+7.7+2.8+0.3+0.9+48+9.2+16+18.7+7+7.7+1.3+0.4+12+8.8+4.3+4.6+2.7+28.5+7.2+7.7-0.1+172.1+2.3+24.1</f>
        <v>414.8</v>
      </c>
      <c r="E132" s="93">
        <f>D132/D109*100</f>
        <v>0.09172132765264354</v>
      </c>
      <c r="F132" s="84">
        <f t="shared" si="16"/>
        <v>49.036529140560354</v>
      </c>
      <c r="G132" s="84">
        <f t="shared" si="13"/>
        <v>41.31885645980676</v>
      </c>
      <c r="H132" s="85">
        <f t="shared" si="14"/>
        <v>431.09999999999997</v>
      </c>
      <c r="I132" s="85">
        <f t="shared" si="15"/>
        <v>589.0999999999999</v>
      </c>
      <c r="M132" s="86"/>
    </row>
    <row r="133" spans="1:13" s="95" customFormat="1" ht="18">
      <c r="A133" s="87" t="s">
        <v>86</v>
      </c>
      <c r="B133" s="88">
        <v>516.8</v>
      </c>
      <c r="C133" s="89">
        <v>553.3</v>
      </c>
      <c r="D133" s="166">
        <f>7.7+48+7.7+7.7+7.7+7.7+7.7-0.1+24.1</f>
        <v>118.20000000000002</v>
      </c>
      <c r="E133" s="90">
        <f>D133/D132*100</f>
        <v>28.49566055930569</v>
      </c>
      <c r="F133" s="90">
        <f>D133/B133*100</f>
        <v>22.87151702786378</v>
      </c>
      <c r="G133" s="90">
        <f t="shared" si="13"/>
        <v>21.362732694740654</v>
      </c>
      <c r="H133" s="89">
        <f t="shared" si="14"/>
        <v>398.5999999999999</v>
      </c>
      <c r="I133" s="89">
        <f t="shared" si="15"/>
        <v>435.0999999999999</v>
      </c>
      <c r="M133" s="119"/>
    </row>
    <row r="134" spans="1:9" s="94" customFormat="1" ht="37.5">
      <c r="A134" s="143" t="s">
        <v>101</v>
      </c>
      <c r="B134" s="144">
        <f>125-20</f>
        <v>105</v>
      </c>
      <c r="C134" s="91">
        <f>250-20</f>
        <v>230</v>
      </c>
      <c r="D134" s="158">
        <f>9.6+20</f>
        <v>29.6</v>
      </c>
      <c r="E134" s="93">
        <f>D134/D109*100</f>
        <v>0.006545205637700697</v>
      </c>
      <c r="F134" s="84">
        <f t="shared" si="16"/>
        <v>28.190476190476193</v>
      </c>
      <c r="G134" s="84">
        <f t="shared" si="13"/>
        <v>12.869565217391305</v>
      </c>
      <c r="H134" s="85">
        <f t="shared" si="14"/>
        <v>75.4</v>
      </c>
      <c r="I134" s="85">
        <f t="shared" si="15"/>
        <v>200.4</v>
      </c>
    </row>
    <row r="135" spans="1:9" s="95" customFormat="1" ht="18" hidden="1">
      <c r="A135" s="145" t="s">
        <v>41</v>
      </c>
      <c r="B135" s="88"/>
      <c r="C135" s="89"/>
      <c r="D135" s="166"/>
      <c r="E135" s="90"/>
      <c r="F135" s="90" t="e">
        <f>D135/B135*100</f>
        <v>#DIV/0!</v>
      </c>
      <c r="G135" s="90" t="e">
        <f t="shared" si="13"/>
        <v>#DIV/0!</v>
      </c>
      <c r="H135" s="89">
        <f t="shared" si="14"/>
        <v>0</v>
      </c>
      <c r="I135" s="89">
        <f t="shared" si="15"/>
        <v>0</v>
      </c>
    </row>
    <row r="136" spans="1:9" s="94" customFormat="1" ht="35.25" customHeight="1" hidden="1">
      <c r="A136" s="143" t="s">
        <v>100</v>
      </c>
      <c r="B136" s="144"/>
      <c r="C136" s="91"/>
      <c r="D136" s="158"/>
      <c r="E136" s="93">
        <f>D136/D109*100</f>
        <v>0</v>
      </c>
      <c r="F136" s="84" t="e">
        <f t="shared" si="16"/>
        <v>#DIV/0!</v>
      </c>
      <c r="G136" s="84" t="e">
        <f t="shared" si="13"/>
        <v>#DIV/0!</v>
      </c>
      <c r="H136" s="85">
        <f t="shared" si="14"/>
        <v>0</v>
      </c>
      <c r="I136" s="85">
        <f>C136-D136</f>
        <v>0</v>
      </c>
    </row>
    <row r="137" spans="1:9" s="94" customFormat="1" ht="21.75" customHeight="1" hidden="1">
      <c r="A137" s="143" t="s">
        <v>99</v>
      </c>
      <c r="B137" s="144"/>
      <c r="C137" s="91"/>
      <c r="D137" s="158"/>
      <c r="E137" s="93">
        <f>D137/D109*100</f>
        <v>0</v>
      </c>
      <c r="F137" s="84" t="e">
        <f t="shared" si="16"/>
        <v>#DIV/0!</v>
      </c>
      <c r="G137" s="84" t="e">
        <f t="shared" si="13"/>
        <v>#DIV/0!</v>
      </c>
      <c r="H137" s="85">
        <f t="shared" si="14"/>
        <v>0</v>
      </c>
      <c r="I137" s="85">
        <f t="shared" si="15"/>
        <v>0</v>
      </c>
    </row>
    <row r="138" spans="1:9" s="94" customFormat="1" ht="35.25" customHeight="1">
      <c r="A138" s="143" t="s">
        <v>85</v>
      </c>
      <c r="B138" s="149">
        <f>2043.9-205</f>
        <v>1838.9</v>
      </c>
      <c r="C138" s="91">
        <v>2964.5</v>
      </c>
      <c r="D138" s="158">
        <f>203+174+113.5+76.2+55.5+17.2+64.2+103.9+40.9+12.5+10.2+13.3+28.3+0.1+10.1+19.9+1.8+49.6+39.6-0.2</f>
        <v>1033.6</v>
      </c>
      <c r="E138" s="93">
        <f>D138/D109*100</f>
        <v>0.22855150497052157</v>
      </c>
      <c r="F138" s="84">
        <f t="shared" si="16"/>
        <v>56.20751536244494</v>
      </c>
      <c r="G138" s="84">
        <f t="shared" si="13"/>
        <v>34.86591330747174</v>
      </c>
      <c r="H138" s="85">
        <f t="shared" si="14"/>
        <v>805.3000000000002</v>
      </c>
      <c r="I138" s="85">
        <f t="shared" si="15"/>
        <v>1930.9</v>
      </c>
    </row>
    <row r="139" spans="1:9" s="94" customFormat="1" ht="39" customHeight="1">
      <c r="A139" s="143" t="s">
        <v>52</v>
      </c>
      <c r="B139" s="144">
        <f>270-72.4</f>
        <v>197.6</v>
      </c>
      <c r="C139" s="91">
        <f>350-72.4</f>
        <v>277.6</v>
      </c>
      <c r="D139" s="158">
        <f>30+1.3+13+17.4+1.4+1.8-0.1+8+1.1+2.9+39.6+4.1</f>
        <v>120.5</v>
      </c>
      <c r="E139" s="93">
        <f>D139/D109*100</f>
        <v>0.0266451783561802</v>
      </c>
      <c r="F139" s="84">
        <f t="shared" si="16"/>
        <v>60.98178137651822</v>
      </c>
      <c r="G139" s="84">
        <f t="shared" si="13"/>
        <v>43.40778097982709</v>
      </c>
      <c r="H139" s="85">
        <f t="shared" si="14"/>
        <v>77.1</v>
      </c>
      <c r="I139" s="85">
        <f t="shared" si="15"/>
        <v>157.10000000000002</v>
      </c>
    </row>
    <row r="140" spans="1:9" s="95" customFormat="1" ht="18">
      <c r="A140" s="87" t="s">
        <v>86</v>
      </c>
      <c r="B140" s="88">
        <f>95-30</f>
        <v>65</v>
      </c>
      <c r="C140" s="89">
        <f>110-30</f>
        <v>80</v>
      </c>
      <c r="D140" s="166">
        <f>1.3+0.4+1.4+1.8-0.1+1.1+2.9+4.1</f>
        <v>12.9</v>
      </c>
      <c r="E140" s="90"/>
      <c r="F140" s="84">
        <f>D140/B140*100</f>
        <v>19.846153846153847</v>
      </c>
      <c r="G140" s="90">
        <f>D140/C140*100</f>
        <v>16.125</v>
      </c>
      <c r="H140" s="89">
        <f>B140-D140</f>
        <v>52.1</v>
      </c>
      <c r="I140" s="89">
        <f>C140-D140</f>
        <v>67.1</v>
      </c>
    </row>
    <row r="141" spans="1:9" s="94" customFormat="1" ht="40.5" customHeight="1">
      <c r="A141" s="143" t="s">
        <v>82</v>
      </c>
      <c r="B141" s="144">
        <v>455</v>
      </c>
      <c r="C141" s="91">
        <v>642.9</v>
      </c>
      <c r="D141" s="158">
        <f>3.4+29.8+0.5+0.6+0.5+7+95+1+3.4+1.6+21.9+0.5+0.2+14.5+1.1+4.5+5.3+14.7+1.23462+4.7+11.1+4.8+0.3+0.3+3.4+16.7+0.7+5.1+0.7+10.9+0.1+4.9</f>
        <v>270.43462</v>
      </c>
      <c r="E141" s="93">
        <f>D141/D109*100</f>
        <v>0.059798993224778565</v>
      </c>
      <c r="F141" s="84">
        <f>D141/B141*100</f>
        <v>59.43618021978022</v>
      </c>
      <c r="G141" s="84">
        <f>D141/C141*100</f>
        <v>42.064803235339866</v>
      </c>
      <c r="H141" s="85">
        <f t="shared" si="14"/>
        <v>184.56538</v>
      </c>
      <c r="I141" s="85">
        <f t="shared" si="15"/>
        <v>372.46538</v>
      </c>
    </row>
    <row r="142" spans="1:9" s="95" customFormat="1" ht="18">
      <c r="A142" s="87" t="s">
        <v>23</v>
      </c>
      <c r="B142" s="88">
        <v>365</v>
      </c>
      <c r="C142" s="89">
        <v>524.9</v>
      </c>
      <c r="D142" s="166">
        <f>0.4+29.8+0.5+0.6+95+0.7+18.5+0.5+14.5+1.1+4.5+14.8+1.2+11.1+4.8+0.2+15.2+0.7+5.1+0.7+10.9</f>
        <v>230.79999999999995</v>
      </c>
      <c r="E142" s="90">
        <f>D142/D141*100</f>
        <v>85.3441027631743</v>
      </c>
      <c r="F142" s="90">
        <f t="shared" si="16"/>
        <v>63.23287671232875</v>
      </c>
      <c r="G142" s="90">
        <f>D142/C142*100</f>
        <v>43.97028005334349</v>
      </c>
      <c r="H142" s="89">
        <f t="shared" si="14"/>
        <v>134.20000000000005</v>
      </c>
      <c r="I142" s="89">
        <f t="shared" si="15"/>
        <v>294.1</v>
      </c>
    </row>
    <row r="143" spans="1:9" s="94" customFormat="1" ht="18.75">
      <c r="A143" s="143" t="s">
        <v>94</v>
      </c>
      <c r="B143" s="144">
        <v>1818.9</v>
      </c>
      <c r="C143" s="91">
        <v>2262.8</v>
      </c>
      <c r="D143" s="158">
        <f>33.6+100.1+61.4+1.9+88.9+76.4+140.9+13.9+60.1+109.3+18.6+51.1+12+15.7+91.6+92.9+151.5+21.4+117.4-12.2+110+74.1+147.9+19.9+51.5+105.8-0.1</f>
        <v>1755.6000000000004</v>
      </c>
      <c r="E143" s="93">
        <f>D143/D109*100</f>
        <v>0.3882014532955184</v>
      </c>
      <c r="F143" s="84">
        <f t="shared" si="16"/>
        <v>96.51987464951345</v>
      </c>
      <c r="G143" s="84">
        <f t="shared" si="13"/>
        <v>77.58529255789288</v>
      </c>
      <c r="H143" s="85">
        <f t="shared" si="14"/>
        <v>63.29999999999973</v>
      </c>
      <c r="I143" s="85">
        <f t="shared" si="15"/>
        <v>507.1999999999998</v>
      </c>
    </row>
    <row r="144" spans="1:9" s="95" customFormat="1" ht="18">
      <c r="A144" s="145" t="s">
        <v>41</v>
      </c>
      <c r="B144" s="88">
        <v>1469.3</v>
      </c>
      <c r="C144" s="89">
        <v>1867.4</v>
      </c>
      <c r="D144" s="166">
        <f>33.6+99.1+51.9+81.4+59+82.2+5.6+57.6+68.8+16.1-2.2+47.6+70.6+83.7+114.7+20.9+115.1+0.1+80.1+70.3+136.9+14.5+51.4+89.8</f>
        <v>1448.8000000000002</v>
      </c>
      <c r="E144" s="90">
        <f>D144/D143*100</f>
        <v>82.52449305080883</v>
      </c>
      <c r="F144" s="90">
        <f t="shared" si="16"/>
        <v>98.60477778533998</v>
      </c>
      <c r="G144" s="90">
        <f t="shared" si="13"/>
        <v>77.58380636178644</v>
      </c>
      <c r="H144" s="89">
        <f t="shared" si="14"/>
        <v>20.499999999999773</v>
      </c>
      <c r="I144" s="89">
        <f t="shared" si="15"/>
        <v>418.5999999999999</v>
      </c>
    </row>
    <row r="145" spans="1:9" s="95" customFormat="1" ht="18">
      <c r="A145" s="87" t="s">
        <v>23</v>
      </c>
      <c r="B145" s="88">
        <v>30.6</v>
      </c>
      <c r="C145" s="89">
        <v>48</v>
      </c>
      <c r="D145" s="166">
        <f>9.3+7.4+6+0.1+2.5+0.1+0.1+1+0.5+0.4+0.3</f>
        <v>27.700000000000006</v>
      </c>
      <c r="E145" s="90">
        <f>D145/D143*100</f>
        <v>1.577808156755525</v>
      </c>
      <c r="F145" s="90">
        <f t="shared" si="16"/>
        <v>90.52287581699348</v>
      </c>
      <c r="G145" s="90">
        <f>D145/C145*100</f>
        <v>57.70833333333335</v>
      </c>
      <c r="H145" s="89">
        <f t="shared" si="14"/>
        <v>2.899999999999995</v>
      </c>
      <c r="I145" s="89">
        <f t="shared" si="15"/>
        <v>20.299999999999994</v>
      </c>
    </row>
    <row r="146" spans="1:9" s="94" customFormat="1" ht="33.75" customHeight="1">
      <c r="A146" s="140" t="s">
        <v>54</v>
      </c>
      <c r="B146" s="144">
        <v>961</v>
      </c>
      <c r="C146" s="91">
        <v>961</v>
      </c>
      <c r="D146" s="158">
        <f>563+398</f>
        <v>961</v>
      </c>
      <c r="E146" s="93">
        <f>D146/D109*100</f>
        <v>0.21249806141318814</v>
      </c>
      <c r="F146" s="84">
        <f t="shared" si="16"/>
        <v>100</v>
      </c>
      <c r="G146" s="84">
        <f t="shared" si="13"/>
        <v>100</v>
      </c>
      <c r="H146" s="85">
        <f t="shared" si="14"/>
        <v>0</v>
      </c>
      <c r="I146" s="85">
        <f t="shared" si="15"/>
        <v>0</v>
      </c>
    </row>
    <row r="147" spans="1:9" s="94" customFormat="1" ht="18.75" hidden="1">
      <c r="A147" s="140" t="s">
        <v>90</v>
      </c>
      <c r="B147" s="144"/>
      <c r="C147" s="91"/>
      <c r="D147" s="158"/>
      <c r="E147" s="93">
        <f>D147/D109*100</f>
        <v>0</v>
      </c>
      <c r="F147" s="84" t="e">
        <f>D147/B147*100</f>
        <v>#DIV/0!</v>
      </c>
      <c r="G147" s="84" t="e">
        <f t="shared" si="13"/>
        <v>#DIV/0!</v>
      </c>
      <c r="H147" s="85">
        <f t="shared" si="14"/>
        <v>0</v>
      </c>
      <c r="I147" s="85">
        <f t="shared" si="15"/>
        <v>0</v>
      </c>
    </row>
    <row r="148" spans="1:9" s="94" customFormat="1" ht="19.5" customHeight="1">
      <c r="A148" s="140" t="s">
        <v>95</v>
      </c>
      <c r="B148" s="153">
        <f>136625.9+2375.7</f>
        <v>139001.6</v>
      </c>
      <c r="C148" s="91">
        <f>148561.8-115.4-1283.5+4253.3</f>
        <v>151416.19999999998</v>
      </c>
      <c r="D148" s="158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+11+895.3+761.7+2817.9+9.3+2471.4+10.7+36.6+199.4+3377.1+188.4+1104.6</f>
        <v>137475.50000000003</v>
      </c>
      <c r="E148" s="93">
        <f>D148/D109*100</f>
        <v>30.398831677220343</v>
      </c>
      <c r="F148" s="84">
        <f t="shared" si="16"/>
        <v>98.90209896864498</v>
      </c>
      <c r="G148" s="84">
        <f t="shared" si="13"/>
        <v>90.79312517418879</v>
      </c>
      <c r="H148" s="85">
        <f t="shared" si="14"/>
        <v>1526.0999999999767</v>
      </c>
      <c r="I148" s="85">
        <f t="shared" si="15"/>
        <v>13940.699999999953</v>
      </c>
    </row>
    <row r="149" spans="1:9" s="94" customFormat="1" ht="18.75" hidden="1">
      <c r="A149" s="140" t="s">
        <v>84</v>
      </c>
      <c r="B149" s="153"/>
      <c r="C149" s="91"/>
      <c r="D149" s="158"/>
      <c r="E149" s="93">
        <f>D149/D109*100</f>
        <v>0</v>
      </c>
      <c r="F149" s="84" t="e">
        <f t="shared" si="16"/>
        <v>#DIV/0!</v>
      </c>
      <c r="G149" s="84" t="e">
        <f t="shared" si="13"/>
        <v>#DIV/0!</v>
      </c>
      <c r="H149" s="85">
        <f t="shared" si="14"/>
        <v>0</v>
      </c>
      <c r="I149" s="85">
        <f t="shared" si="15"/>
        <v>0</v>
      </c>
    </row>
    <row r="150" spans="1:9" s="94" customFormat="1" ht="18.75">
      <c r="A150" s="140" t="s">
        <v>108</v>
      </c>
      <c r="B150" s="153">
        <v>38</v>
      </c>
      <c r="C150" s="91">
        <v>50</v>
      </c>
      <c r="D150" s="158">
        <f>1+0.7+0.3+0.3+0.3+0.3</f>
        <v>2.8999999999999995</v>
      </c>
      <c r="E150" s="93">
        <f>D150/D111*100</f>
        <v>0.36245469316335455</v>
      </c>
      <c r="F150" s="84">
        <f>D150/B150*100</f>
        <v>7.6315789473684195</v>
      </c>
      <c r="G150" s="84">
        <f>D150/C150*100</f>
        <v>5.799999999999999</v>
      </c>
      <c r="H150" s="85">
        <f>B150-D150</f>
        <v>35.1</v>
      </c>
      <c r="I150" s="85">
        <f>C150-D150</f>
        <v>47.1</v>
      </c>
    </row>
    <row r="151" spans="1:9" s="94" customFormat="1" ht="18.75">
      <c r="A151" s="143" t="s">
        <v>96</v>
      </c>
      <c r="B151" s="153">
        <f>76.9-0.1</f>
        <v>76.80000000000001</v>
      </c>
      <c r="C151" s="91">
        <v>93.9</v>
      </c>
      <c r="D151" s="158">
        <f>29.5+25.8+21.5</f>
        <v>76.8</v>
      </c>
      <c r="E151" s="93">
        <f>D151/D109*100</f>
        <v>0.016982155168088292</v>
      </c>
      <c r="F151" s="84">
        <f t="shared" si="16"/>
        <v>99.99999999999997</v>
      </c>
      <c r="G151" s="84">
        <f t="shared" si="13"/>
        <v>81.78913738019169</v>
      </c>
      <c r="H151" s="85">
        <f t="shared" si="14"/>
        <v>0</v>
      </c>
      <c r="I151" s="85">
        <f t="shared" si="15"/>
        <v>17.10000000000001</v>
      </c>
    </row>
    <row r="152" spans="1:9" s="94" customFormat="1" ht="18" customHeight="1">
      <c r="A152" s="143" t="s">
        <v>75</v>
      </c>
      <c r="B152" s="153">
        <v>12146.8</v>
      </c>
      <c r="C152" s="91">
        <f>509.5+13731.5</f>
        <v>14241</v>
      </c>
      <c r="D152" s="158">
        <f>469.6+898.6+871.8+55+430.7+600.4+36+430.7-0.1+542+60.6+1510.5+423.8+77.7+719.5+23.4+379.6+98.9+504+871.8+627.7+0.1+17.7+73.7+685.9+1071.3+78.8+401.2</f>
        <v>11960.900000000001</v>
      </c>
      <c r="E152" s="93">
        <f>D152/D109*100</f>
        <v>2.644815882161293</v>
      </c>
      <c r="F152" s="84">
        <f t="shared" si="16"/>
        <v>98.46955576777424</v>
      </c>
      <c r="G152" s="84">
        <f t="shared" si="13"/>
        <v>83.98918615265782</v>
      </c>
      <c r="H152" s="85">
        <f t="shared" si="14"/>
        <v>185.89999999999782</v>
      </c>
      <c r="I152" s="85">
        <f t="shared" si="15"/>
        <v>2280.0999999999985</v>
      </c>
    </row>
    <row r="153" spans="1:9" s="94" customFormat="1" ht="19.5" customHeight="1">
      <c r="A153" s="143" t="s">
        <v>48</v>
      </c>
      <c r="B153" s="144">
        <f>185333.8+43780-3259.9-1145.3+200</f>
        <v>224908.6</v>
      </c>
      <c r="C153" s="91">
        <f>365455.9+155.1+4856-2795.8+8042.5-6175-6275.6</f>
        <v>363263.10000000003</v>
      </c>
      <c r="D153" s="158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+1300+428.7+0.5+17710.5+10364.3+11302.2</f>
        <v>224708.58516999998</v>
      </c>
      <c r="E153" s="93">
        <f>D153/D109*100</f>
        <v>49.68796954373077</v>
      </c>
      <c r="F153" s="84">
        <f t="shared" si="16"/>
        <v>99.91106839400537</v>
      </c>
      <c r="G153" s="84">
        <f t="shared" si="13"/>
        <v>61.85835697872973</v>
      </c>
      <c r="H153" s="85">
        <f t="shared" si="14"/>
        <v>200.01483000002918</v>
      </c>
      <c r="I153" s="85">
        <f>C153-D153</f>
        <v>138554.51483000006</v>
      </c>
    </row>
    <row r="154" spans="1:9" s="94" customFormat="1" ht="18.75">
      <c r="A154" s="143" t="s">
        <v>97</v>
      </c>
      <c r="B154" s="144">
        <v>50943.6</v>
      </c>
      <c r="C154" s="91">
        <v>67925</v>
      </c>
      <c r="D154" s="92">
        <f>1886.8+1886.8+1886.8+1886.8+1886.8+1886.8+1886.8+1886.8+1886.8+1886.8+1886.8+1886.8+1886.8+1886.8+1886.8+1886.8+1886.8+1886.8+1886.8+1886.8+1886.8+1886.8+1886.8+1886.8+1886.8+1886.8+1886.8</f>
        <v>50943.60000000002</v>
      </c>
      <c r="E154" s="93">
        <f>D154/D109*100</f>
        <v>11.264741146107072</v>
      </c>
      <c r="F154" s="84">
        <f t="shared" si="16"/>
        <v>100.00000000000004</v>
      </c>
      <c r="G154" s="84">
        <f t="shared" si="13"/>
        <v>74.99977916820025</v>
      </c>
      <c r="H154" s="85">
        <f t="shared" si="14"/>
        <v>0</v>
      </c>
      <c r="I154" s="85">
        <f t="shared" si="15"/>
        <v>16981.39999999998</v>
      </c>
    </row>
    <row r="155" spans="1:9" s="2" customFormat="1" ht="19.5" thickBot="1">
      <c r="A155" s="26" t="s">
        <v>27</v>
      </c>
      <c r="B155" s="123"/>
      <c r="C155" s="58"/>
      <c r="D155" s="40">
        <f>D43+D70+D74+D79+D81+D89+D104+D109+D102+D86+D100</f>
        <v>500117.71979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1854337.7000000002</v>
      </c>
      <c r="C156" s="36">
        <f>C6+C18+C33+C43+C52+C60+C70+C74+C79+C81+C89+C92+C97+C104+C109+C102+C86+C100+C46</f>
        <v>2507982.7</v>
      </c>
      <c r="D156" s="36">
        <f>D6+D18+D33+D43+D52+D60+D70+D74+D79+D81+D89+D92+D97+D104+D109+D102+D86+D100+D46</f>
        <v>1758534.1567900002</v>
      </c>
      <c r="E156" s="25">
        <v>100</v>
      </c>
      <c r="F156" s="3">
        <f>D156/B156*100</f>
        <v>94.83354390033702</v>
      </c>
      <c r="G156" s="3">
        <f aca="true" t="shared" si="17" ref="G156:G162">D156/C156*100</f>
        <v>70.11747556273016</v>
      </c>
      <c r="H156" s="36">
        <f>B156-D156</f>
        <v>95803.54321000003</v>
      </c>
      <c r="I156" s="36">
        <f aca="true" t="shared" si="18" ref="I156:I162">C156-D156</f>
        <v>749448.54321</v>
      </c>
      <c r="K156" s="127">
        <f>D156-114199.9-202905.8-214631.3-204053.8-222765.5+11.7-231911.7-174259.3+121.8-188776.5</f>
        <v>205163.8567900001</v>
      </c>
    </row>
    <row r="157" spans="1:9" ht="18.75">
      <c r="A157" s="15" t="s">
        <v>5</v>
      </c>
      <c r="B157" s="47">
        <f>B8+B20+B34+B53+B61+B93+B117+B122+B47+B144+B135+B105</f>
        <v>761130.1000000001</v>
      </c>
      <c r="C157" s="47">
        <f>C8+C20+C34+C53+C61+C93+C117+C122+C47+C144+C135+C105</f>
        <v>996771.1</v>
      </c>
      <c r="D157" s="47">
        <f>D8+D20+D34+D53+D61+D93+D117+D122+D47+D144+D135+D105</f>
        <v>738005.7000000002</v>
      </c>
      <c r="E157" s="6">
        <f>D157/D156*100</f>
        <v>41.96709498933725</v>
      </c>
      <c r="F157" s="6">
        <f aca="true" t="shared" si="19" ref="F157:F162">D157/B157*100</f>
        <v>96.96183346316222</v>
      </c>
      <c r="G157" s="6">
        <f t="shared" si="17"/>
        <v>74.03963658256146</v>
      </c>
      <c r="H157" s="48">
        <f aca="true" t="shared" si="20" ref="H157:H162">B157-D157</f>
        <v>23124.399999999907</v>
      </c>
      <c r="I157" s="57">
        <f t="shared" si="18"/>
        <v>258765.3999999998</v>
      </c>
    </row>
    <row r="158" spans="1:9" ht="18.75">
      <c r="A158" s="15" t="s">
        <v>0</v>
      </c>
      <c r="B158" s="85">
        <f>B11+B23+B36+B56+B63+B94+B50+B145+B111+B114+B98+B142+B131</f>
        <v>80698.00000000001</v>
      </c>
      <c r="C158" s="85">
        <f>C11+C23+C36+C56+C63+C94+C50+C145+C111+C114+C98+C142+C131</f>
        <v>125275.7</v>
      </c>
      <c r="D158" s="85">
        <f>D11+D23+D36+D56+D63+D94+D50+D145+D111+D114+D98+D142+D131</f>
        <v>66423.49999999996</v>
      </c>
      <c r="E158" s="6">
        <f>D158/D156*100</f>
        <v>3.777208406417783</v>
      </c>
      <c r="F158" s="6">
        <f t="shared" si="19"/>
        <v>82.3112096954075</v>
      </c>
      <c r="G158" s="6">
        <f t="shared" si="17"/>
        <v>53.021854996619425</v>
      </c>
      <c r="H158" s="48">
        <f>B158-D158</f>
        <v>14274.500000000058</v>
      </c>
      <c r="I158" s="57">
        <f t="shared" si="18"/>
        <v>58852.20000000004</v>
      </c>
    </row>
    <row r="159" spans="1:9" ht="18.75">
      <c r="A159" s="15" t="s">
        <v>1</v>
      </c>
      <c r="B159" s="133">
        <f>B22+B10+B55+B49+B62+B35+B126</f>
        <v>36349.600000000006</v>
      </c>
      <c r="C159" s="133">
        <f>C22+C10+C55+C49+C62+C35+C126</f>
        <v>48026.600000000006</v>
      </c>
      <c r="D159" s="133">
        <f>D22+D10+D55+D49+D62+D35+D126</f>
        <v>32402.200000000008</v>
      </c>
      <c r="E159" s="6">
        <f>D159/D156*100</f>
        <v>1.8425687027396986</v>
      </c>
      <c r="F159" s="6">
        <f t="shared" si="19"/>
        <v>89.14045821687172</v>
      </c>
      <c r="G159" s="6">
        <f t="shared" si="17"/>
        <v>67.4671952626253</v>
      </c>
      <c r="H159" s="48">
        <f t="shared" si="20"/>
        <v>3947.399999999998</v>
      </c>
      <c r="I159" s="57">
        <f t="shared" si="18"/>
        <v>15624.399999999998</v>
      </c>
    </row>
    <row r="160" spans="1:9" ht="21" customHeight="1">
      <c r="A160" s="15" t="s">
        <v>12</v>
      </c>
      <c r="B160" s="133">
        <f>B12+B24+B106+B64+B38+B95+B133+B57+B140+B120+B44+B73</f>
        <v>66391.2</v>
      </c>
      <c r="C160" s="133">
        <f>C12+C24+C106+C64+C38+C95+C133+C57+C140+C120+C44+C73</f>
        <v>87271.40000000002</v>
      </c>
      <c r="D160" s="133">
        <f>D12+D24+D106+D64+D38+D95+D133+D57+D140+D120+D44+D73</f>
        <v>57478.660000000025</v>
      </c>
      <c r="E160" s="6">
        <f>D160/D156*100</f>
        <v>3.2685552212941174</v>
      </c>
      <c r="F160" s="6">
        <f>D160/B160*100</f>
        <v>86.57572087867071</v>
      </c>
      <c r="G160" s="6">
        <f t="shared" si="17"/>
        <v>65.86196623406983</v>
      </c>
      <c r="H160" s="48">
        <f>B160-D160</f>
        <v>8912.539999999972</v>
      </c>
      <c r="I160" s="57">
        <f t="shared" si="18"/>
        <v>29792.739999999998</v>
      </c>
    </row>
    <row r="161" spans="1:9" ht="18.75">
      <c r="A161" s="15" t="s">
        <v>2</v>
      </c>
      <c r="B161" s="47">
        <f>B9+B21+B48+B54+B125</f>
        <v>81.10000000000001</v>
      </c>
      <c r="C161" s="47">
        <f>C9+C21+C48+C54+C125</f>
        <v>122.9</v>
      </c>
      <c r="D161" s="47">
        <f>D9+D21+D48+D54+D125</f>
        <v>48.79999999999999</v>
      </c>
      <c r="E161" s="6">
        <f>D161/D156*100</f>
        <v>0.002775038506450095</v>
      </c>
      <c r="F161" s="6">
        <f t="shared" si="19"/>
        <v>60.17262638717631</v>
      </c>
      <c r="G161" s="6">
        <f t="shared" si="17"/>
        <v>39.707078925956054</v>
      </c>
      <c r="H161" s="48">
        <f t="shared" si="20"/>
        <v>32.30000000000002</v>
      </c>
      <c r="I161" s="57">
        <f t="shared" si="18"/>
        <v>74.10000000000002</v>
      </c>
    </row>
    <row r="162" spans="1:9" ht="19.5" thickBot="1">
      <c r="A162" s="79" t="s">
        <v>25</v>
      </c>
      <c r="B162" s="59">
        <f>B156-B157-B158-B159-B160-B161</f>
        <v>909687.7000000002</v>
      </c>
      <c r="C162" s="59">
        <f>C156-C157-C158-C159-C160-C161</f>
        <v>1250515</v>
      </c>
      <c r="D162" s="59">
        <f>D156-D157-D158-D159-D160-D161</f>
        <v>864175.2967899999</v>
      </c>
      <c r="E162" s="28">
        <f>D162/D156*100</f>
        <v>49.1417976417047</v>
      </c>
      <c r="F162" s="28">
        <f t="shared" si="19"/>
        <v>94.99692001881522</v>
      </c>
      <c r="G162" s="28">
        <f t="shared" si="17"/>
        <v>69.10555225567066</v>
      </c>
      <c r="H162" s="80">
        <f t="shared" si="20"/>
        <v>45512.40321000025</v>
      </c>
      <c r="I162" s="80">
        <f t="shared" si="18"/>
        <v>386339.70321000007</v>
      </c>
    </row>
    <row r="163" spans="7:8" ht="12.75">
      <c r="G163" s="131"/>
      <c r="H163" s="131"/>
    </row>
    <row r="164" spans="3:9" ht="12.75">
      <c r="C164" s="127"/>
      <c r="G164" s="131"/>
      <c r="H164" s="131"/>
      <c r="I164" s="131"/>
    </row>
    <row r="165" spans="4:8" ht="12.75">
      <c r="D165" s="127"/>
      <c r="G165" s="131"/>
      <c r="H165" s="131"/>
    </row>
    <row r="166" spans="7:8" ht="12.75">
      <c r="G166" s="131"/>
      <c r="H166" s="131"/>
    </row>
    <row r="167" spans="2:8" ht="12.75">
      <c r="B167" s="132"/>
      <c r="C167" s="132"/>
      <c r="D167" s="127"/>
      <c r="G167" s="131"/>
      <c r="H167" s="131"/>
    </row>
    <row r="168" spans="7:8" ht="12.75">
      <c r="G168" s="131"/>
      <c r="H168" s="131"/>
    </row>
    <row r="169" spans="2:8" ht="12.75">
      <c r="B169" s="132"/>
      <c r="C169" s="132"/>
      <c r="D169" s="132"/>
      <c r="G169" s="131"/>
      <c r="H169" s="131"/>
    </row>
    <row r="170" spans="2:8" ht="12.75">
      <c r="B170" s="132"/>
      <c r="G170" s="131"/>
      <c r="H170" s="131"/>
    </row>
    <row r="171" spans="2:8" ht="12.75">
      <c r="B171" s="132"/>
      <c r="C171" s="127"/>
      <c r="G171" s="131"/>
      <c r="H171" s="131"/>
    </row>
    <row r="172" spans="7:8" ht="12.75">
      <c r="G172" s="131"/>
      <c r="H172" s="131"/>
    </row>
    <row r="173" spans="7:8" ht="12.75">
      <c r="G173" s="131"/>
      <c r="H173" s="131"/>
    </row>
    <row r="174" spans="7:8" ht="12.75">
      <c r="G174" s="131"/>
      <c r="H174" s="131"/>
    </row>
    <row r="175" spans="7:8" ht="12.75">
      <c r="G175" s="131"/>
      <c r="H175" s="131"/>
    </row>
    <row r="176" spans="7:8" ht="12.75">
      <c r="G176" s="131"/>
      <c r="H176" s="131"/>
    </row>
    <row r="177" spans="3:8" ht="12.75">
      <c r="C177" s="127"/>
      <c r="G177" s="131"/>
      <c r="H177" s="131"/>
    </row>
    <row r="178" spans="7:8" ht="12.75">
      <c r="G178" s="131"/>
      <c r="H178" s="131"/>
    </row>
    <row r="179" spans="7:8" ht="12.75">
      <c r="G179" s="131"/>
      <c r="H179" s="131"/>
    </row>
    <row r="180" spans="7:8" ht="12.75">
      <c r="G180" s="131"/>
      <c r="H180" s="131"/>
    </row>
    <row r="181" spans="7:8" ht="12.75">
      <c r="G181" s="131"/>
      <c r="H181" s="131"/>
    </row>
    <row r="182" spans="7:8" ht="12.75">
      <c r="G182" s="131"/>
      <c r="H182" s="131"/>
    </row>
    <row r="183" spans="7:8" ht="12.75">
      <c r="G183" s="131"/>
      <c r="H183" s="131"/>
    </row>
    <row r="184" spans="7:8" ht="12.75">
      <c r="G184" s="131"/>
      <c r="H184" s="131"/>
    </row>
    <row r="185" spans="7:8" ht="12.75">
      <c r="G185" s="131"/>
      <c r="H185" s="131"/>
    </row>
    <row r="186" spans="7:8" ht="12.75">
      <c r="G186" s="131"/>
      <c r="H186" s="131"/>
    </row>
    <row r="187" spans="7:8" ht="12.75">
      <c r="G187" s="131"/>
      <c r="H187" s="131"/>
    </row>
    <row r="188" spans="7:8" ht="12.75">
      <c r="G188" s="131"/>
      <c r="H188" s="131"/>
    </row>
    <row r="189" spans="7:8" ht="12.75">
      <c r="G189" s="131"/>
      <c r="H189" s="131"/>
    </row>
    <row r="190" spans="7:8" ht="12.75">
      <c r="G190" s="131"/>
      <c r="H190" s="131"/>
    </row>
    <row r="191" spans="7:8" ht="12.75">
      <c r="G191" s="131"/>
      <c r="H191" s="131"/>
    </row>
    <row r="192" spans="7:8" ht="12.75">
      <c r="G192" s="131"/>
      <c r="H192" s="131"/>
    </row>
    <row r="193" spans="7:8" ht="12.75">
      <c r="G193" s="131"/>
      <c r="H193" s="131"/>
    </row>
    <row r="194" spans="7:8" ht="12.75">
      <c r="G194" s="131"/>
      <c r="H194" s="131"/>
    </row>
    <row r="195" spans="7:8" ht="12.75">
      <c r="G195" s="131"/>
      <c r="H195" s="131"/>
    </row>
    <row r="196" spans="7:8" ht="12.75">
      <c r="G196" s="131"/>
      <c r="H196" s="131"/>
    </row>
    <row r="197" spans="7:8" ht="12.75">
      <c r="G197" s="131"/>
      <c r="H197" s="131"/>
    </row>
    <row r="198" spans="7:8" ht="12.75">
      <c r="G198" s="131"/>
      <c r="H198" s="131"/>
    </row>
    <row r="199" spans="7:8" ht="12.75">
      <c r="G199" s="131"/>
      <c r="H199" s="131"/>
    </row>
    <row r="200" spans="7:8" ht="12.75">
      <c r="G200" s="131"/>
      <c r="H200" s="131"/>
    </row>
    <row r="201" spans="7:8" ht="12.75">
      <c r="G201" s="131"/>
      <c r="H201" s="131"/>
    </row>
    <row r="202" spans="7:8" ht="12.75">
      <c r="G202" s="131"/>
      <c r="H202" s="131"/>
    </row>
    <row r="203" spans="7:8" ht="12.75">
      <c r="G203" s="131"/>
      <c r="H203" s="131"/>
    </row>
    <row r="204" spans="7:8" ht="12.75">
      <c r="G204" s="131"/>
      <c r="H204" s="131"/>
    </row>
    <row r="205" spans="7:8" ht="12.75">
      <c r="G205" s="131"/>
      <c r="H205" s="131"/>
    </row>
    <row r="206" spans="7:8" ht="12.75">
      <c r="G206" s="131"/>
      <c r="H206" s="131"/>
    </row>
    <row r="207" spans="7:8" ht="12.75">
      <c r="G207" s="131"/>
      <c r="H207" s="131"/>
    </row>
    <row r="208" spans="7:8" ht="12.75">
      <c r="G208" s="131"/>
      <c r="H208" s="131"/>
    </row>
    <row r="209" spans="7:8" ht="12.75">
      <c r="G209" s="131"/>
      <c r="H209" s="131"/>
    </row>
    <row r="210" spans="7:8" ht="12.75">
      <c r="G210" s="131"/>
      <c r="H210" s="131"/>
    </row>
    <row r="211" spans="7:8" ht="12.75">
      <c r="G211" s="131"/>
      <c r="H211" s="131"/>
    </row>
    <row r="212" spans="7:8" ht="12.75">
      <c r="G212" s="131"/>
      <c r="H212" s="131"/>
    </row>
    <row r="213" spans="7:8" ht="12.75">
      <c r="G213" s="131"/>
      <c r="H213" s="131"/>
    </row>
    <row r="214" spans="7:8" ht="12.75">
      <c r="G214" s="131"/>
      <c r="H214" s="131"/>
    </row>
    <row r="215" spans="7:8" ht="12.75">
      <c r="G215" s="131"/>
      <c r="H215" s="131"/>
    </row>
    <row r="216" spans="7:8" ht="12.75">
      <c r="G216" s="131"/>
      <c r="H216" s="131"/>
    </row>
    <row r="217" spans="7:8" ht="12.75">
      <c r="G217" s="131"/>
      <c r="H217" s="131"/>
    </row>
    <row r="218" spans="7:8" ht="12.75">
      <c r="G218" s="131"/>
      <c r="H218" s="131"/>
    </row>
    <row r="219" spans="7:8" ht="12.75">
      <c r="G219" s="131"/>
      <c r="H219" s="131"/>
    </row>
    <row r="220" spans="7:8" ht="12.75">
      <c r="G220" s="131"/>
      <c r="H220" s="131"/>
    </row>
    <row r="221" spans="7:8" ht="12.75">
      <c r="G221" s="131"/>
      <c r="H221" s="131"/>
    </row>
    <row r="222" spans="7:8" ht="12.75">
      <c r="G222" s="131"/>
      <c r="H222" s="131"/>
    </row>
    <row r="223" spans="7:8" ht="12.75">
      <c r="G223" s="131"/>
      <c r="H223" s="131"/>
    </row>
    <row r="224" spans="7:8" ht="12.75">
      <c r="G224" s="131"/>
      <c r="H224" s="131"/>
    </row>
    <row r="225" spans="7:8" ht="12.75">
      <c r="G225" s="131"/>
      <c r="H225" s="131"/>
    </row>
    <row r="226" spans="7:8" ht="12.75">
      <c r="G226" s="131"/>
      <c r="H226" s="131"/>
    </row>
    <row r="227" spans="7:8" ht="12.75">
      <c r="G227" s="131"/>
      <c r="H227" s="131"/>
    </row>
    <row r="228" spans="7:8" ht="12.75">
      <c r="G228" s="131"/>
      <c r="H228" s="131"/>
    </row>
    <row r="229" spans="7:8" ht="12.75">
      <c r="G229" s="131"/>
      <c r="H229" s="131"/>
    </row>
    <row r="230" spans="7:8" ht="12.75">
      <c r="G230" s="131"/>
      <c r="H230" s="131"/>
    </row>
    <row r="231" spans="7:8" ht="12.75">
      <c r="G231" s="131"/>
      <c r="H231" s="131"/>
    </row>
    <row r="232" spans="7:8" ht="12.75">
      <c r="G232" s="131"/>
      <c r="H232" s="131"/>
    </row>
    <row r="233" spans="7:8" ht="12.75">
      <c r="G233" s="131"/>
      <c r="H233" s="131"/>
    </row>
    <row r="234" spans="7:8" ht="12.75">
      <c r="G234" s="131"/>
      <c r="H234" s="131"/>
    </row>
    <row r="235" spans="7:8" ht="12.75">
      <c r="G235" s="131"/>
      <c r="H235" s="131"/>
    </row>
    <row r="236" spans="7:8" ht="12.75">
      <c r="G236" s="131"/>
      <c r="H236" s="131"/>
    </row>
    <row r="237" spans="7:8" ht="12.75">
      <c r="G237" s="131"/>
      <c r="H237" s="131"/>
    </row>
    <row r="238" spans="7:8" ht="12.75">
      <c r="G238" s="131"/>
      <c r="H238" s="131"/>
    </row>
    <row r="239" spans="7:8" ht="12.75">
      <c r="G239" s="131"/>
      <c r="H239" s="131"/>
    </row>
    <row r="240" spans="7:8" ht="12.75">
      <c r="G240" s="131"/>
      <c r="H240" s="131"/>
    </row>
    <row r="241" spans="7:8" ht="12.75">
      <c r="G241" s="131"/>
      <c r="H241" s="131"/>
    </row>
    <row r="242" spans="7:8" ht="12.75">
      <c r="G242" s="131"/>
      <c r="H242" s="131"/>
    </row>
    <row r="243" spans="7:8" ht="12.75">
      <c r="G243" s="131"/>
      <c r="H243" s="131"/>
    </row>
    <row r="244" spans="7:8" ht="12.75">
      <c r="G244" s="131"/>
      <c r="H244" s="131"/>
    </row>
    <row r="245" spans="7:8" ht="12.75">
      <c r="G245" s="131"/>
      <c r="H245" s="131"/>
    </row>
    <row r="246" spans="7:8" ht="12.75">
      <c r="G246" s="131"/>
      <c r="H246" s="131"/>
    </row>
    <row r="247" spans="7:8" ht="12.75">
      <c r="G247" s="131"/>
      <c r="H247" s="131"/>
    </row>
    <row r="248" spans="7:8" ht="12.75">
      <c r="G248" s="131"/>
      <c r="H248" s="131"/>
    </row>
    <row r="249" spans="7:8" ht="12.75">
      <c r="G249" s="131"/>
      <c r="H249" s="131"/>
    </row>
    <row r="250" spans="7:8" ht="12.75">
      <c r="G250" s="131"/>
      <c r="H250" s="131"/>
    </row>
    <row r="251" spans="7:8" ht="12.75">
      <c r="G251" s="131"/>
      <c r="H251" s="131"/>
    </row>
    <row r="252" spans="7:8" ht="12.75">
      <c r="G252" s="131"/>
      <c r="H252" s="131"/>
    </row>
    <row r="253" spans="7:8" ht="12.75">
      <c r="G253" s="131"/>
      <c r="H253" s="131"/>
    </row>
    <row r="254" spans="7:8" ht="12.75">
      <c r="G254" s="131"/>
      <c r="H254" s="131"/>
    </row>
    <row r="255" spans="7:8" ht="12.75">
      <c r="G255" s="131"/>
      <c r="H255" s="131"/>
    </row>
    <row r="256" spans="7:8" ht="12.75">
      <c r="G256" s="131"/>
      <c r="H256" s="131"/>
    </row>
    <row r="257" spans="7:8" ht="12.75">
      <c r="G257" s="131"/>
      <c r="H257" s="131"/>
    </row>
    <row r="258" spans="7:8" ht="12.75">
      <c r="G258" s="131"/>
      <c r="H258" s="131"/>
    </row>
    <row r="259" spans="7:8" ht="12.75">
      <c r="G259" s="131"/>
      <c r="H259" s="131"/>
    </row>
    <row r="260" spans="7:8" ht="12.75">
      <c r="G260" s="131"/>
      <c r="H260" s="131"/>
    </row>
    <row r="261" spans="7:8" ht="12.75">
      <c r="G261" s="131"/>
      <c r="H261" s="131"/>
    </row>
    <row r="262" spans="7:8" ht="12.75">
      <c r="G262" s="131"/>
      <c r="H262" s="131"/>
    </row>
    <row r="263" spans="7:8" ht="12.75">
      <c r="G263" s="131"/>
      <c r="H263" s="131"/>
    </row>
    <row r="264" spans="7:8" ht="12.75">
      <c r="G264" s="131"/>
      <c r="H264" s="131"/>
    </row>
    <row r="265" spans="7:8" ht="12.75">
      <c r="G265" s="131"/>
      <c r="H265" s="131"/>
    </row>
    <row r="266" spans="7:8" ht="12.75">
      <c r="G266" s="131"/>
      <c r="H266" s="131"/>
    </row>
    <row r="267" spans="7:8" ht="12.75">
      <c r="G267" s="131"/>
      <c r="H267" s="131"/>
    </row>
    <row r="268" spans="7:8" ht="12.75">
      <c r="G268" s="131"/>
      <c r="H268" s="131"/>
    </row>
    <row r="269" spans="7:8" ht="12.75">
      <c r="G269" s="131"/>
      <c r="H269" s="131"/>
    </row>
    <row r="270" spans="7:8" ht="12.75">
      <c r="G270" s="131"/>
      <c r="H270" s="131"/>
    </row>
    <row r="271" spans="7:8" ht="12.75">
      <c r="G271" s="131"/>
      <c r="H271" s="131"/>
    </row>
    <row r="272" spans="7:8" ht="12.75">
      <c r="G272" s="131"/>
      <c r="H272" s="131"/>
    </row>
    <row r="273" spans="7:8" ht="12.75">
      <c r="G273" s="131"/>
      <c r="H273" s="131"/>
    </row>
    <row r="274" spans="7:8" ht="12.75">
      <c r="G274" s="131"/>
      <c r="H274" s="131"/>
    </row>
    <row r="275" spans="7:8" ht="12.75">
      <c r="G275" s="131"/>
      <c r="H275" s="131"/>
    </row>
    <row r="276" spans="7:8" ht="12.75">
      <c r="G276" s="131"/>
      <c r="H276" s="131"/>
    </row>
    <row r="277" spans="7:8" ht="12.75">
      <c r="G277" s="131"/>
      <c r="H277" s="131"/>
    </row>
    <row r="278" spans="7:8" ht="12.75">
      <c r="G278" s="131"/>
      <c r="H278" s="131"/>
    </row>
    <row r="279" spans="7:8" ht="12.75">
      <c r="G279" s="131"/>
      <c r="H279" s="131"/>
    </row>
    <row r="280" spans="7:8" ht="12.75">
      <c r="G280" s="131"/>
      <c r="H280" s="131"/>
    </row>
    <row r="281" spans="7:8" ht="12.75">
      <c r="G281" s="131"/>
      <c r="H281" s="131"/>
    </row>
    <row r="282" spans="7:8" ht="12.75">
      <c r="G282" s="131"/>
      <c r="H282" s="131"/>
    </row>
    <row r="283" spans="7:8" ht="12.75">
      <c r="G283" s="131"/>
      <c r="H283" s="131"/>
    </row>
    <row r="284" spans="7:8" ht="12.75">
      <c r="G284" s="131"/>
      <c r="H284" s="131"/>
    </row>
    <row r="285" spans="7:8" ht="12.75">
      <c r="G285" s="131"/>
      <c r="H285" s="131"/>
    </row>
    <row r="286" spans="7:8" ht="12.75">
      <c r="G286" s="131"/>
      <c r="H286" s="131"/>
    </row>
    <row r="287" spans="7:8" ht="12.75">
      <c r="G287" s="131"/>
      <c r="H287" s="131"/>
    </row>
    <row r="288" spans="7:8" ht="12.75">
      <c r="G288" s="131"/>
      <c r="H288" s="131"/>
    </row>
    <row r="289" spans="7:8" ht="12.75">
      <c r="G289" s="131"/>
      <c r="H289" s="131"/>
    </row>
    <row r="290" spans="7:8" ht="12.75">
      <c r="G290" s="131"/>
      <c r="H290" s="131"/>
    </row>
    <row r="291" spans="7:8" ht="12.75">
      <c r="G291" s="131"/>
      <c r="H291" s="131"/>
    </row>
    <row r="292" spans="7:8" ht="12.75">
      <c r="G292" s="131"/>
      <c r="H292" s="131"/>
    </row>
    <row r="293" spans="7:8" ht="12.75">
      <c r="G293" s="131"/>
      <c r="H293" s="131"/>
    </row>
    <row r="294" spans="7:8" ht="12.75">
      <c r="G294" s="131"/>
      <c r="H294" s="131"/>
    </row>
    <row r="295" spans="7:8" ht="12.75">
      <c r="G295" s="131"/>
      <c r="H295" s="131"/>
    </row>
    <row r="296" spans="7:8" ht="12.75">
      <c r="G296" s="131"/>
      <c r="H296" s="131"/>
    </row>
    <row r="297" spans="7:8" ht="12.75">
      <c r="G297" s="131"/>
      <c r="H297" s="131"/>
    </row>
    <row r="298" spans="7:8" ht="12.75">
      <c r="G298" s="131"/>
      <c r="H298" s="131"/>
    </row>
    <row r="299" spans="7:8" ht="12.75">
      <c r="G299" s="131"/>
      <c r="H299" s="131"/>
    </row>
    <row r="300" spans="7:8" ht="12.75">
      <c r="G300" s="131"/>
      <c r="H300" s="131"/>
    </row>
    <row r="301" spans="7:8" ht="12.75">
      <c r="G301" s="131"/>
      <c r="H301" s="131"/>
    </row>
    <row r="302" spans="7:8" ht="12.75">
      <c r="G302" s="131"/>
      <c r="H302" s="131"/>
    </row>
    <row r="303" spans="7:8" ht="12.75">
      <c r="G303" s="131"/>
      <c r="H303" s="131"/>
    </row>
    <row r="304" spans="7:8" ht="12.75">
      <c r="G304" s="131"/>
      <c r="H304" s="131"/>
    </row>
    <row r="305" spans="7:8" ht="12.75">
      <c r="G305" s="131"/>
      <c r="H305" s="131"/>
    </row>
    <row r="306" spans="7:8" ht="12.75">
      <c r="G306" s="131"/>
      <c r="H306" s="131"/>
    </row>
    <row r="307" spans="7:8" ht="12.75">
      <c r="G307" s="131"/>
      <c r="H307" s="131"/>
    </row>
    <row r="308" spans="7:8" ht="12.75">
      <c r="G308" s="131"/>
      <c r="H308" s="131"/>
    </row>
    <row r="309" spans="7:8" ht="12.75">
      <c r="G309" s="131"/>
      <c r="H309" s="131"/>
    </row>
    <row r="310" spans="7:8" ht="12.75">
      <c r="G310" s="131"/>
      <c r="H310" s="131"/>
    </row>
    <row r="311" spans="7:8" ht="12.75">
      <c r="G311" s="131"/>
      <c r="H311" s="131"/>
    </row>
    <row r="312" spans="7:8" ht="12.75">
      <c r="G312" s="131"/>
      <c r="H312" s="131"/>
    </row>
    <row r="313" spans="7:8" ht="12.75">
      <c r="G313" s="131"/>
      <c r="H313" s="131"/>
    </row>
    <row r="314" spans="7:8" ht="12.75">
      <c r="G314" s="131"/>
      <c r="H314" s="131"/>
    </row>
    <row r="315" spans="7:8" ht="12.75">
      <c r="G315" s="131"/>
      <c r="H315" s="131"/>
    </row>
    <row r="316" spans="7:8" ht="12.75">
      <c r="G316" s="131"/>
      <c r="H316" s="131"/>
    </row>
    <row r="317" spans="7:8" ht="12.75">
      <c r="G317" s="131"/>
      <c r="H317" s="131"/>
    </row>
    <row r="318" spans="7:8" ht="12.75">
      <c r="G318" s="131"/>
      <c r="H318" s="131"/>
    </row>
    <row r="319" spans="7:8" ht="12.75">
      <c r="G319" s="131"/>
      <c r="H319" s="131"/>
    </row>
    <row r="320" spans="7:8" ht="12.75">
      <c r="G320" s="131"/>
      <c r="H320" s="131"/>
    </row>
    <row r="321" spans="7:8" ht="12.75">
      <c r="G321" s="131"/>
      <c r="H321" s="131"/>
    </row>
    <row r="322" spans="7:8" ht="12.75">
      <c r="G322" s="131"/>
      <c r="H322" s="131"/>
    </row>
    <row r="323" spans="7:8" ht="12.75">
      <c r="G323" s="131"/>
      <c r="H323" s="131"/>
    </row>
    <row r="324" spans="7:8" ht="12.75">
      <c r="G324" s="131"/>
      <c r="H324" s="131"/>
    </row>
    <row r="325" spans="7:8" ht="12.75">
      <c r="G325" s="131"/>
      <c r="H325" s="131"/>
    </row>
    <row r="326" spans="7:8" ht="12.75">
      <c r="G326" s="131"/>
      <c r="H326" s="131"/>
    </row>
    <row r="327" spans="7:8" ht="12.75">
      <c r="G327" s="131"/>
      <c r="H327" s="131"/>
    </row>
    <row r="328" spans="7:8" ht="12.75">
      <c r="G328" s="131"/>
      <c r="H328" s="131"/>
    </row>
    <row r="329" spans="7:8" ht="12.75">
      <c r="G329" s="131"/>
      <c r="H329" s="131"/>
    </row>
    <row r="330" spans="7:8" ht="12.75">
      <c r="G330" s="131"/>
      <c r="H330" s="131"/>
    </row>
    <row r="331" spans="7:8" ht="12.75">
      <c r="G331" s="131"/>
      <c r="H331" s="131"/>
    </row>
    <row r="332" spans="7:8" ht="12.75">
      <c r="G332" s="131"/>
      <c r="H332" s="131"/>
    </row>
    <row r="333" spans="7:8" ht="12.75">
      <c r="G333" s="131"/>
      <c r="H333" s="131"/>
    </row>
    <row r="334" spans="7:8" ht="12.75">
      <c r="G334" s="131"/>
      <c r="H334" s="131"/>
    </row>
    <row r="335" spans="7:8" ht="12.75">
      <c r="G335" s="131"/>
      <c r="H335" s="131"/>
    </row>
    <row r="336" spans="7:8" ht="12.75">
      <c r="G336" s="131"/>
      <c r="H336" s="131"/>
    </row>
    <row r="337" spans="7:8" ht="12.75">
      <c r="G337" s="131"/>
      <c r="H337" s="131"/>
    </row>
    <row r="338" spans="7:8" ht="12.75">
      <c r="G338" s="131"/>
      <c r="H338" s="131"/>
    </row>
    <row r="339" spans="7:8" ht="12.75">
      <c r="G339" s="131"/>
      <c r="H339" s="131"/>
    </row>
    <row r="340" spans="7:8" ht="12.75">
      <c r="G340" s="131"/>
      <c r="H340" s="131"/>
    </row>
    <row r="341" spans="7:8" ht="12.75">
      <c r="G341" s="131"/>
      <c r="H341" s="131"/>
    </row>
    <row r="342" spans="7:8" ht="12.75">
      <c r="G342" s="131"/>
      <c r="H342" s="131"/>
    </row>
    <row r="343" spans="7:8" ht="12.75">
      <c r="G343" s="131"/>
      <c r="H343" s="131"/>
    </row>
    <row r="344" spans="7:8" ht="12.75">
      <c r="G344" s="131"/>
      <c r="H344" s="131"/>
    </row>
    <row r="345" spans="7:8" ht="12.75">
      <c r="G345" s="131"/>
      <c r="H345" s="131"/>
    </row>
    <row r="346" spans="7:8" ht="12.75">
      <c r="G346" s="131"/>
      <c r="H346" s="131"/>
    </row>
    <row r="347" spans="7:8" ht="12.75">
      <c r="G347" s="131"/>
      <c r="H347" s="131"/>
    </row>
    <row r="348" spans="7:8" ht="12.75">
      <c r="G348" s="131"/>
      <c r="H348" s="131"/>
    </row>
    <row r="349" spans="7:8" ht="12.75">
      <c r="G349" s="131"/>
      <c r="H349" s="131"/>
    </row>
    <row r="350" spans="7:8" ht="12.75">
      <c r="G350" s="131"/>
      <c r="H350" s="131"/>
    </row>
    <row r="351" spans="7:8" ht="12.75">
      <c r="G351" s="131"/>
      <c r="H351" s="131"/>
    </row>
    <row r="352" spans="7:8" ht="12.75">
      <c r="G352" s="131"/>
      <c r="H352" s="131"/>
    </row>
    <row r="353" spans="7:8" ht="12.75">
      <c r="G353" s="131"/>
      <c r="H353" s="131"/>
    </row>
    <row r="354" spans="7:8" ht="12.75">
      <c r="G354" s="131"/>
      <c r="H354" s="131"/>
    </row>
    <row r="355" spans="7:8" ht="12.75">
      <c r="G355" s="131"/>
      <c r="H355" s="131"/>
    </row>
    <row r="356" spans="7:8" ht="12.75">
      <c r="G356" s="131"/>
      <c r="H356" s="131"/>
    </row>
    <row r="357" spans="7:8" ht="12.75">
      <c r="G357" s="131"/>
      <c r="H357" s="131"/>
    </row>
    <row r="358" spans="7:8" ht="12.75">
      <c r="G358" s="131"/>
      <c r="H358" s="131"/>
    </row>
    <row r="359" spans="7:8" ht="12.75">
      <c r="G359" s="131"/>
      <c r="H359" s="131"/>
    </row>
    <row r="360" spans="7:8" ht="12.75">
      <c r="G360" s="131"/>
      <c r="H360" s="131"/>
    </row>
    <row r="361" spans="7:8" ht="12.75">
      <c r="G361" s="131"/>
      <c r="H361" s="131"/>
    </row>
    <row r="362" spans="7:8" ht="12.75">
      <c r="G362" s="131"/>
      <c r="H362" s="131"/>
    </row>
    <row r="363" spans="7:8" ht="12.75">
      <c r="G363" s="131"/>
      <c r="H363" s="131"/>
    </row>
    <row r="364" spans="7:8" ht="12.75">
      <c r="G364" s="131"/>
      <c r="H364" s="131"/>
    </row>
    <row r="365" spans="7:8" ht="12.75">
      <c r="G365" s="131"/>
      <c r="H365" s="131"/>
    </row>
    <row r="366" spans="7:8" ht="12.75">
      <c r="G366" s="131"/>
      <c r="H366" s="131"/>
    </row>
    <row r="367" spans="7:8" ht="12.75">
      <c r="G367" s="131"/>
      <c r="H367" s="131"/>
    </row>
    <row r="368" spans="7:8" ht="12.75">
      <c r="G368" s="131"/>
      <c r="H368" s="131"/>
    </row>
    <row r="369" spans="7:8" ht="12.75">
      <c r="G369" s="131"/>
      <c r="H369" s="131"/>
    </row>
    <row r="370" spans="7:8" ht="12.75">
      <c r="G370" s="131"/>
      <c r="H370" s="131"/>
    </row>
    <row r="371" spans="7:8" ht="12.75">
      <c r="G371" s="131"/>
      <c r="H371" s="131"/>
    </row>
    <row r="372" spans="7:8" ht="12.75">
      <c r="G372" s="131"/>
      <c r="H372" s="131"/>
    </row>
    <row r="373" spans="7:8" ht="12.75">
      <c r="G373" s="131"/>
      <c r="H373" s="131"/>
    </row>
    <row r="374" spans="7:8" ht="12.75">
      <c r="G374" s="131"/>
      <c r="H374" s="131"/>
    </row>
    <row r="375" spans="7:8" ht="12.75">
      <c r="G375" s="131"/>
      <c r="H375" s="131"/>
    </row>
    <row r="376" spans="7:8" ht="12.75">
      <c r="G376" s="131"/>
      <c r="H376" s="131"/>
    </row>
    <row r="377" spans="7:8" ht="12.75">
      <c r="G377" s="131"/>
      <c r="H377" s="131"/>
    </row>
    <row r="378" spans="7:8" ht="12.75">
      <c r="G378" s="131"/>
      <c r="H378" s="131"/>
    </row>
    <row r="379" spans="7:8" ht="12.75">
      <c r="G379" s="131"/>
      <c r="H379" s="131"/>
    </row>
    <row r="380" spans="7:8" ht="12.75">
      <c r="G380" s="131"/>
      <c r="H380" s="131"/>
    </row>
    <row r="381" spans="7:8" ht="12.75">
      <c r="G381" s="131"/>
      <c r="H381" s="131"/>
    </row>
    <row r="382" spans="7:8" ht="12.75">
      <c r="G382" s="131"/>
      <c r="H382" s="131"/>
    </row>
    <row r="383" spans="7:8" ht="12.75">
      <c r="G383" s="131"/>
      <c r="H383" s="131"/>
    </row>
    <row r="384" spans="7:8" ht="12.75">
      <c r="G384" s="131"/>
      <c r="H384" s="131"/>
    </row>
    <row r="385" spans="7:8" ht="12.75">
      <c r="G385" s="131"/>
      <c r="H385" s="131"/>
    </row>
    <row r="386" spans="7:8" ht="12.75">
      <c r="G386" s="131"/>
      <c r="H386" s="131"/>
    </row>
    <row r="387" spans="7:8" ht="12.75">
      <c r="G387" s="131"/>
      <c r="H387" s="131"/>
    </row>
    <row r="388" spans="7:8" ht="12.75">
      <c r="G388" s="131"/>
      <c r="H388" s="131"/>
    </row>
    <row r="389" spans="7:8" ht="12.75">
      <c r="G389" s="131"/>
      <c r="H389" s="131"/>
    </row>
    <row r="390" spans="7:8" ht="12.75">
      <c r="G390" s="131"/>
      <c r="H390" s="131"/>
    </row>
    <row r="391" spans="7:8" ht="12.75">
      <c r="G391" s="131"/>
      <c r="H391" s="131"/>
    </row>
    <row r="392" spans="7:8" ht="12.75">
      <c r="G392" s="131"/>
      <c r="H392" s="131"/>
    </row>
    <row r="393" spans="7:8" ht="12.75">
      <c r="G393" s="131"/>
      <c r="H393" s="131"/>
    </row>
    <row r="394" spans="7:8" ht="12.75">
      <c r="G394" s="131"/>
      <c r="H394" s="131"/>
    </row>
    <row r="395" spans="7:8" ht="12.75">
      <c r="G395" s="131"/>
      <c r="H395" s="131"/>
    </row>
    <row r="396" spans="7:8" ht="12.75">
      <c r="G396" s="131"/>
      <c r="H396" s="131"/>
    </row>
    <row r="397" spans="7:8" ht="12.75">
      <c r="G397" s="131"/>
      <c r="H397" s="131"/>
    </row>
    <row r="398" spans="7:8" ht="12.75">
      <c r="G398" s="131"/>
      <c r="H398" s="131"/>
    </row>
    <row r="399" spans="7:8" ht="12.75">
      <c r="G399" s="131"/>
      <c r="H399" s="131"/>
    </row>
    <row r="400" spans="7:8" ht="12.75">
      <c r="G400" s="131"/>
      <c r="H400" s="131"/>
    </row>
    <row r="401" spans="7:8" ht="12.75">
      <c r="G401" s="131"/>
      <c r="H401" s="131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1758534.1567900002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1758534.1567900002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2019-09-02T05:24:58Z</cp:lastPrinted>
  <dcterms:created xsi:type="dcterms:W3CDTF">2000-06-20T04:48:00Z</dcterms:created>
  <dcterms:modified xsi:type="dcterms:W3CDTF">2019-09-30T11:57:40Z</dcterms:modified>
  <cp:category/>
  <cp:version/>
  <cp:contentType/>
  <cp:contentStatus/>
</cp:coreProperties>
</file>